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20640" windowHeight="6480" activeTab="1"/>
  </bookViews>
  <sheets>
    <sheet name="EyiyIoyi" sheetId="1" r:id="rId1"/>
    <sheet name="工作表1" sheetId="2" r:id="rId2"/>
  </sheets>
  <definedNames>
    <definedName name="_xlnm._FilterDatabase" localSheetId="0" hidden="1">EyiyIoyi!$A$1:$V$712</definedName>
    <definedName name="_xlnm._FilterDatabase" localSheetId="1" hidden="1">工作表1!$A$1:$H$711</definedName>
  </definedNames>
  <calcPr calcId="145621"/>
</workbook>
</file>

<file path=xl/calcChain.xml><?xml version="1.0" encoding="utf-8"?>
<calcChain xmlns="http://schemas.openxmlformats.org/spreadsheetml/2006/main">
  <c r="L126" i="1" l="1"/>
  <c r="L127" i="1"/>
  <c r="L59" i="1"/>
  <c r="L60" i="1"/>
  <c r="L61" i="1"/>
  <c r="L62" i="1"/>
  <c r="L63" i="1"/>
  <c r="L64" i="1"/>
  <c r="L65" i="1"/>
  <c r="L215" i="1" l="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 r="A2" i="1" l="1"/>
  <c r="G2" i="1"/>
  <c r="H2" i="1"/>
  <c r="O2" i="1"/>
  <c r="T2" i="1"/>
  <c r="A3" i="1"/>
  <c r="G3" i="1"/>
  <c r="H3" i="1"/>
  <c r="O3" i="1"/>
  <c r="T3" i="1"/>
  <c r="A4" i="1"/>
  <c r="G4" i="1"/>
  <c r="H4" i="1"/>
  <c r="O4" i="1"/>
  <c r="T4" i="1"/>
  <c r="A5" i="1"/>
  <c r="G5" i="1"/>
  <c r="H5" i="1"/>
  <c r="O5" i="1"/>
  <c r="T5" i="1"/>
  <c r="A6" i="1"/>
  <c r="G6" i="1"/>
  <c r="H6" i="1"/>
  <c r="O6" i="1"/>
  <c r="T6" i="1"/>
  <c r="A7" i="1"/>
  <c r="G7" i="1"/>
  <c r="H7" i="1"/>
  <c r="O7" i="1"/>
  <c r="T7" i="1"/>
  <c r="A8" i="1"/>
  <c r="G8" i="1"/>
  <c r="H8" i="1"/>
  <c r="O8" i="1"/>
  <c r="T8" i="1"/>
  <c r="A9" i="1"/>
  <c r="G9" i="1"/>
  <c r="H9" i="1"/>
  <c r="O9" i="1"/>
  <c r="T9" i="1"/>
  <c r="A10" i="1"/>
  <c r="G10" i="1"/>
  <c r="H10" i="1"/>
  <c r="O10" i="1"/>
  <c r="T10" i="1"/>
  <c r="A11" i="1"/>
  <c r="G11" i="1"/>
  <c r="H11" i="1"/>
  <c r="O11" i="1"/>
  <c r="T11" i="1"/>
  <c r="A12" i="1"/>
  <c r="G12" i="1"/>
  <c r="H12" i="1"/>
  <c r="O12" i="1"/>
  <c r="T12" i="1"/>
  <c r="A13" i="1"/>
  <c r="G13" i="1"/>
  <c r="H13" i="1"/>
  <c r="O13" i="1"/>
  <c r="T13" i="1"/>
  <c r="A14" i="1"/>
  <c r="G14" i="1"/>
  <c r="H14" i="1"/>
  <c r="O14" i="1"/>
  <c r="T14" i="1"/>
  <c r="A15" i="1"/>
  <c r="G15" i="1"/>
  <c r="H15" i="1"/>
  <c r="O15" i="1"/>
  <c r="T15" i="1"/>
  <c r="A16" i="1"/>
  <c r="G16" i="1"/>
  <c r="H16" i="1"/>
  <c r="O16" i="1"/>
  <c r="T16" i="1"/>
  <c r="A17" i="1"/>
  <c r="G17" i="1"/>
  <c r="H17" i="1"/>
  <c r="O17" i="1"/>
  <c r="T17" i="1"/>
  <c r="A18" i="1"/>
  <c r="G18" i="1"/>
  <c r="H18" i="1"/>
  <c r="O18" i="1"/>
  <c r="T18" i="1"/>
  <c r="A19" i="1"/>
  <c r="G19" i="1"/>
  <c r="H19" i="1"/>
  <c r="O19" i="1"/>
  <c r="T19" i="1"/>
  <c r="A20" i="1"/>
  <c r="G20" i="1"/>
  <c r="H20" i="1"/>
  <c r="O20" i="1"/>
  <c r="T20" i="1"/>
  <c r="A21" i="1"/>
  <c r="G21" i="1"/>
  <c r="H21" i="1"/>
  <c r="O21" i="1"/>
  <c r="T21" i="1"/>
  <c r="A22" i="1"/>
  <c r="G22" i="1"/>
  <c r="H22" i="1"/>
  <c r="O22" i="1"/>
  <c r="T22" i="1"/>
  <c r="A23" i="1"/>
  <c r="G23" i="1"/>
  <c r="H23" i="1"/>
  <c r="O23" i="1"/>
  <c r="T23" i="1"/>
  <c r="A24" i="1"/>
  <c r="G24" i="1"/>
  <c r="H24" i="1"/>
  <c r="O24" i="1"/>
  <c r="T24" i="1"/>
  <c r="A25" i="1"/>
  <c r="G25" i="1"/>
  <c r="H25" i="1"/>
  <c r="O25" i="1"/>
  <c r="T25" i="1"/>
  <c r="A26" i="1"/>
  <c r="G26" i="1"/>
  <c r="H26" i="1"/>
  <c r="O26" i="1"/>
  <c r="T26" i="1"/>
  <c r="A27" i="1"/>
  <c r="G27" i="1"/>
  <c r="H27" i="1"/>
  <c r="O27" i="1"/>
  <c r="T27" i="1"/>
  <c r="A28" i="1"/>
  <c r="G28" i="1"/>
  <c r="H28" i="1"/>
  <c r="O28" i="1"/>
  <c r="T28" i="1"/>
  <c r="A29" i="1"/>
  <c r="G29" i="1"/>
  <c r="H29" i="1"/>
  <c r="O29" i="1"/>
  <c r="T29" i="1"/>
  <c r="A30" i="1"/>
  <c r="G30" i="1"/>
  <c r="H30" i="1"/>
  <c r="O30" i="1"/>
  <c r="T30" i="1"/>
  <c r="A31" i="1"/>
  <c r="G31" i="1"/>
  <c r="H31" i="1"/>
  <c r="O31" i="1"/>
  <c r="T31" i="1"/>
  <c r="A32" i="1"/>
  <c r="G32" i="1"/>
  <c r="H32" i="1"/>
  <c r="O32" i="1"/>
  <c r="T32" i="1"/>
  <c r="A33" i="1"/>
  <c r="G33" i="1"/>
  <c r="H33" i="1"/>
  <c r="O33" i="1"/>
  <c r="T33" i="1"/>
  <c r="A34" i="1"/>
  <c r="G34" i="1"/>
  <c r="H34" i="1"/>
  <c r="O34" i="1"/>
  <c r="T34" i="1"/>
  <c r="A35" i="1"/>
  <c r="G35" i="1"/>
  <c r="H35" i="1"/>
  <c r="O35" i="1"/>
  <c r="T35" i="1"/>
  <c r="A36" i="1"/>
  <c r="G36" i="1"/>
  <c r="H36" i="1"/>
  <c r="O36" i="1"/>
  <c r="T36" i="1"/>
  <c r="A37" i="1"/>
  <c r="G37" i="1"/>
  <c r="H37" i="1"/>
  <c r="O37" i="1"/>
  <c r="T37" i="1"/>
  <c r="A38" i="1"/>
  <c r="G38" i="1"/>
  <c r="H38" i="1"/>
  <c r="O38" i="1"/>
  <c r="T38" i="1"/>
  <c r="A39" i="1"/>
  <c r="G39" i="1"/>
  <c r="H39" i="1"/>
  <c r="O39" i="1"/>
  <c r="T39" i="1"/>
  <c r="A40" i="1"/>
  <c r="G40" i="1"/>
  <c r="H40" i="1"/>
  <c r="O40" i="1"/>
  <c r="T40" i="1"/>
  <c r="A41" i="1"/>
  <c r="G41" i="1"/>
  <c r="H41" i="1"/>
  <c r="O41" i="1"/>
  <c r="T41" i="1"/>
  <c r="A42" i="1"/>
  <c r="G42" i="1"/>
  <c r="H42" i="1"/>
  <c r="O42" i="1"/>
  <c r="T42" i="1"/>
  <c r="A43" i="1"/>
  <c r="G43" i="1"/>
  <c r="H43" i="1"/>
  <c r="O43" i="1"/>
  <c r="T43" i="1"/>
  <c r="A44" i="1"/>
  <c r="G44" i="1"/>
  <c r="H44" i="1"/>
  <c r="O44" i="1"/>
  <c r="T44" i="1"/>
  <c r="A45" i="1"/>
  <c r="G45" i="1"/>
  <c r="H45" i="1"/>
  <c r="O45" i="1"/>
  <c r="T45" i="1"/>
  <c r="A46" i="1"/>
  <c r="G46" i="1"/>
  <c r="H46" i="1"/>
  <c r="O46" i="1"/>
  <c r="T46" i="1"/>
  <c r="A47" i="1"/>
  <c r="G47" i="1"/>
  <c r="H47" i="1"/>
  <c r="O47" i="1"/>
  <c r="T47" i="1"/>
  <c r="A48" i="1"/>
  <c r="G48" i="1"/>
  <c r="H48" i="1"/>
  <c r="O48" i="1"/>
  <c r="T48" i="1"/>
  <c r="A49" i="1"/>
  <c r="G49" i="1"/>
  <c r="H49" i="1"/>
  <c r="O49" i="1"/>
  <c r="T49" i="1"/>
  <c r="A50" i="1"/>
  <c r="G50" i="1"/>
  <c r="H50" i="1"/>
  <c r="O50" i="1"/>
  <c r="T50" i="1"/>
  <c r="A51" i="1"/>
  <c r="G51" i="1"/>
  <c r="H51" i="1"/>
  <c r="O51" i="1"/>
  <c r="T51" i="1"/>
  <c r="A52" i="1"/>
  <c r="G52" i="1"/>
  <c r="H52" i="1"/>
  <c r="O52" i="1"/>
  <c r="T52" i="1"/>
  <c r="A53" i="1"/>
  <c r="G53" i="1"/>
  <c r="H53" i="1"/>
  <c r="O53" i="1"/>
  <c r="T53" i="1"/>
  <c r="A54" i="1"/>
  <c r="G54" i="1"/>
  <c r="H54" i="1"/>
  <c r="O54" i="1"/>
  <c r="T54" i="1"/>
  <c r="A55" i="1"/>
  <c r="G55" i="1"/>
  <c r="H55" i="1"/>
  <c r="O55" i="1"/>
  <c r="T55" i="1"/>
  <c r="A56" i="1"/>
  <c r="G56" i="1"/>
  <c r="H56" i="1"/>
  <c r="O56" i="1"/>
  <c r="T56" i="1"/>
  <c r="A57" i="1"/>
  <c r="G57" i="1"/>
  <c r="H57" i="1"/>
  <c r="O57" i="1"/>
  <c r="T57" i="1"/>
  <c r="A58" i="1"/>
  <c r="G58" i="1"/>
  <c r="H58" i="1"/>
  <c r="O58" i="1"/>
  <c r="T58" i="1"/>
  <c r="A59" i="1"/>
  <c r="G59" i="1"/>
  <c r="H59" i="1"/>
  <c r="O59" i="1"/>
  <c r="T59" i="1"/>
  <c r="A60" i="1"/>
  <c r="G60" i="1"/>
  <c r="H60" i="1"/>
  <c r="O60" i="1"/>
  <c r="T60" i="1"/>
  <c r="A61" i="1"/>
  <c r="G61" i="1"/>
  <c r="H61" i="1"/>
  <c r="O61" i="1"/>
  <c r="T61" i="1"/>
  <c r="A62" i="1"/>
  <c r="G62" i="1"/>
  <c r="H62" i="1"/>
  <c r="O62" i="1"/>
  <c r="T62" i="1"/>
  <c r="A63" i="1"/>
  <c r="G63" i="1"/>
  <c r="H63" i="1"/>
  <c r="O63" i="1"/>
  <c r="T63" i="1"/>
  <c r="A64" i="1"/>
  <c r="G64" i="1"/>
  <c r="H64" i="1"/>
  <c r="O64" i="1"/>
  <c r="T64" i="1"/>
  <c r="A65" i="1"/>
  <c r="G65" i="1"/>
  <c r="H65" i="1"/>
  <c r="O65" i="1"/>
  <c r="T65" i="1"/>
  <c r="A66" i="1"/>
  <c r="G66" i="1"/>
  <c r="H66" i="1"/>
  <c r="O66" i="1"/>
  <c r="T66" i="1"/>
  <c r="A67" i="1"/>
  <c r="G67" i="1"/>
  <c r="H67" i="1"/>
  <c r="O67" i="1"/>
  <c r="T67" i="1"/>
  <c r="A68" i="1"/>
  <c r="G68" i="1"/>
  <c r="H68" i="1"/>
  <c r="O68" i="1"/>
  <c r="T68" i="1"/>
  <c r="A69" i="1"/>
  <c r="G69" i="1"/>
  <c r="H69" i="1"/>
  <c r="O69" i="1"/>
  <c r="T69" i="1"/>
  <c r="A70" i="1"/>
  <c r="G70" i="1"/>
  <c r="H70" i="1"/>
  <c r="O70" i="1"/>
  <c r="T70" i="1"/>
  <c r="A71" i="1"/>
  <c r="G71" i="1"/>
  <c r="H71" i="1"/>
  <c r="O71" i="1"/>
  <c r="T71" i="1"/>
  <c r="A72" i="1"/>
  <c r="G72" i="1"/>
  <c r="H72" i="1"/>
  <c r="O72" i="1"/>
  <c r="T72" i="1"/>
  <c r="A73" i="1"/>
  <c r="G73" i="1"/>
  <c r="H73" i="1"/>
  <c r="O73" i="1"/>
  <c r="T73" i="1"/>
  <c r="A74" i="1"/>
  <c r="G74" i="1"/>
  <c r="H74" i="1"/>
  <c r="O74" i="1"/>
  <c r="T74" i="1"/>
  <c r="A75" i="1"/>
  <c r="G75" i="1"/>
  <c r="H75" i="1"/>
  <c r="O75" i="1"/>
  <c r="T75" i="1"/>
  <c r="A76" i="1"/>
  <c r="G76" i="1"/>
  <c r="H76" i="1"/>
  <c r="O76" i="1"/>
  <c r="T76" i="1"/>
  <c r="A77" i="1"/>
  <c r="G77" i="1"/>
  <c r="H77" i="1"/>
  <c r="O77" i="1"/>
  <c r="T77" i="1"/>
  <c r="A78" i="1"/>
  <c r="G78" i="1"/>
  <c r="H78" i="1"/>
  <c r="O78" i="1"/>
  <c r="T78" i="1"/>
  <c r="A79" i="1"/>
  <c r="G79" i="1"/>
  <c r="H79" i="1"/>
  <c r="O79" i="1"/>
  <c r="T79" i="1"/>
  <c r="A80" i="1"/>
  <c r="G80" i="1"/>
  <c r="H80" i="1"/>
  <c r="O80" i="1"/>
  <c r="T80" i="1"/>
  <c r="A81" i="1"/>
  <c r="G81" i="1"/>
  <c r="H81" i="1"/>
  <c r="O81" i="1"/>
  <c r="T81" i="1"/>
  <c r="A82" i="1"/>
  <c r="G82" i="1"/>
  <c r="H82" i="1"/>
  <c r="O82" i="1"/>
  <c r="T82" i="1"/>
  <c r="A83" i="1"/>
  <c r="G83" i="1"/>
  <c r="H83" i="1"/>
  <c r="O83" i="1"/>
  <c r="T83" i="1"/>
  <c r="A84" i="1"/>
  <c r="G84" i="1"/>
  <c r="H84" i="1"/>
  <c r="O84" i="1"/>
  <c r="T84" i="1"/>
  <c r="A85" i="1"/>
  <c r="G85" i="1"/>
  <c r="H85" i="1"/>
  <c r="O85" i="1"/>
  <c r="T85" i="1"/>
  <c r="A86" i="1"/>
  <c r="G86" i="1"/>
  <c r="H86" i="1"/>
  <c r="O86" i="1"/>
  <c r="T86" i="1"/>
  <c r="A87" i="1"/>
  <c r="G87" i="1"/>
  <c r="H87" i="1"/>
  <c r="O87" i="1"/>
  <c r="T87" i="1"/>
  <c r="A88" i="1"/>
  <c r="G88" i="1"/>
  <c r="H88" i="1"/>
  <c r="O88" i="1"/>
  <c r="T88" i="1"/>
  <c r="A89" i="1"/>
  <c r="G89" i="1"/>
  <c r="H89" i="1"/>
  <c r="O89" i="1"/>
  <c r="T89" i="1"/>
  <c r="A90" i="1"/>
  <c r="G90" i="1"/>
  <c r="H90" i="1"/>
  <c r="O90" i="1"/>
  <c r="T90" i="1"/>
  <c r="A91" i="1"/>
  <c r="G91" i="1"/>
  <c r="H91" i="1"/>
  <c r="O91" i="1"/>
  <c r="T91" i="1"/>
  <c r="A92" i="1"/>
  <c r="G92" i="1"/>
  <c r="H92" i="1"/>
  <c r="O92" i="1"/>
  <c r="T92" i="1"/>
  <c r="A93" i="1"/>
  <c r="G93" i="1"/>
  <c r="H93" i="1"/>
  <c r="O93" i="1"/>
  <c r="T93" i="1"/>
  <c r="A94" i="1"/>
  <c r="G94" i="1"/>
  <c r="H94" i="1"/>
  <c r="O94" i="1"/>
  <c r="T94" i="1"/>
  <c r="A95" i="1"/>
  <c r="G95" i="1"/>
  <c r="H95" i="1"/>
  <c r="O95" i="1"/>
  <c r="T95" i="1"/>
  <c r="A96" i="1"/>
  <c r="G96" i="1"/>
  <c r="H96" i="1"/>
  <c r="O96" i="1"/>
  <c r="T96" i="1"/>
  <c r="A97" i="1"/>
  <c r="G97" i="1"/>
  <c r="H97" i="1"/>
  <c r="O97" i="1"/>
  <c r="T97" i="1"/>
  <c r="A98" i="1"/>
  <c r="G98" i="1"/>
  <c r="H98" i="1"/>
  <c r="O98" i="1"/>
  <c r="T98" i="1"/>
  <c r="A99" i="1"/>
  <c r="G99" i="1"/>
  <c r="H99" i="1"/>
  <c r="O99" i="1"/>
  <c r="T99" i="1"/>
  <c r="A100" i="1"/>
  <c r="G100" i="1"/>
  <c r="H100" i="1"/>
  <c r="O100" i="1"/>
  <c r="T100" i="1"/>
  <c r="A101" i="1"/>
  <c r="G101" i="1"/>
  <c r="H101" i="1"/>
  <c r="O101" i="1"/>
  <c r="T101" i="1"/>
  <c r="A102" i="1"/>
  <c r="G102" i="1"/>
  <c r="H102" i="1"/>
  <c r="O102" i="1"/>
  <c r="T102" i="1"/>
  <c r="A103" i="1"/>
  <c r="G103" i="1"/>
  <c r="H103" i="1"/>
  <c r="O103" i="1"/>
  <c r="T103" i="1"/>
  <c r="A104" i="1"/>
  <c r="G104" i="1"/>
  <c r="H104" i="1"/>
  <c r="O104" i="1"/>
  <c r="T104" i="1"/>
  <c r="A105" i="1"/>
  <c r="G105" i="1"/>
  <c r="H105" i="1"/>
  <c r="O105" i="1"/>
  <c r="T105" i="1"/>
  <c r="A106" i="1"/>
  <c r="G106" i="1"/>
  <c r="H106" i="1"/>
  <c r="O106" i="1"/>
  <c r="T106" i="1"/>
  <c r="A107" i="1"/>
  <c r="G107" i="1"/>
  <c r="H107" i="1"/>
  <c r="O107" i="1"/>
  <c r="T107" i="1"/>
  <c r="A108" i="1"/>
  <c r="G108" i="1"/>
  <c r="H108" i="1"/>
  <c r="O108" i="1"/>
  <c r="T108" i="1"/>
  <c r="A109" i="1"/>
  <c r="G109" i="1"/>
  <c r="H109" i="1"/>
  <c r="O109" i="1"/>
  <c r="T109" i="1"/>
  <c r="A110" i="1"/>
  <c r="G110" i="1"/>
  <c r="H110" i="1"/>
  <c r="O110" i="1"/>
  <c r="T110" i="1"/>
  <c r="A111" i="1"/>
  <c r="G111" i="1"/>
  <c r="H111" i="1"/>
  <c r="O111" i="1"/>
  <c r="T111" i="1"/>
  <c r="A112" i="1"/>
  <c r="G112" i="1"/>
  <c r="H112" i="1"/>
  <c r="O112" i="1"/>
  <c r="T112" i="1"/>
  <c r="A113" i="1"/>
  <c r="G113" i="1"/>
  <c r="H113" i="1"/>
  <c r="O113" i="1"/>
  <c r="T113" i="1"/>
  <c r="A114" i="1"/>
  <c r="G114" i="1"/>
  <c r="H114" i="1"/>
  <c r="O114" i="1"/>
  <c r="T114" i="1"/>
  <c r="A115" i="1"/>
  <c r="G115" i="1"/>
  <c r="H115" i="1"/>
  <c r="O115" i="1"/>
  <c r="T115" i="1"/>
  <c r="A116" i="1"/>
  <c r="G116" i="1"/>
  <c r="H116" i="1"/>
  <c r="O116" i="1"/>
  <c r="T116" i="1"/>
  <c r="A117" i="1"/>
  <c r="G117" i="1"/>
  <c r="H117" i="1"/>
  <c r="O117" i="1"/>
  <c r="T117" i="1"/>
  <c r="A118" i="1"/>
  <c r="G118" i="1"/>
  <c r="H118" i="1"/>
  <c r="O118" i="1"/>
  <c r="T118" i="1"/>
  <c r="A119" i="1"/>
  <c r="G119" i="1"/>
  <c r="H119" i="1"/>
  <c r="O119" i="1"/>
  <c r="T119" i="1"/>
  <c r="A120" i="1"/>
  <c r="G120" i="1"/>
  <c r="H120" i="1"/>
  <c r="O120" i="1"/>
  <c r="T120" i="1"/>
  <c r="A121" i="1"/>
  <c r="G121" i="1"/>
  <c r="H121" i="1"/>
  <c r="O121" i="1"/>
  <c r="T121" i="1"/>
  <c r="A122" i="1"/>
  <c r="G122" i="1"/>
  <c r="H122" i="1"/>
  <c r="O122" i="1"/>
  <c r="T122" i="1"/>
  <c r="A123" i="1"/>
  <c r="G123" i="1"/>
  <c r="H123" i="1"/>
  <c r="O123" i="1"/>
  <c r="T123" i="1"/>
  <c r="A124" i="1"/>
  <c r="G124" i="1"/>
  <c r="H124" i="1"/>
  <c r="O124" i="1"/>
  <c r="T124" i="1"/>
  <c r="A125" i="1"/>
  <c r="G125" i="1"/>
  <c r="H125" i="1"/>
  <c r="O125" i="1"/>
  <c r="T125" i="1"/>
  <c r="A126" i="1"/>
  <c r="G126" i="1"/>
  <c r="H126" i="1"/>
  <c r="O126" i="1"/>
  <c r="T126" i="1"/>
  <c r="A127" i="1"/>
  <c r="G127" i="1"/>
  <c r="H127" i="1"/>
  <c r="O127" i="1"/>
  <c r="T127" i="1"/>
  <c r="A128" i="1"/>
  <c r="G128" i="1"/>
  <c r="H128" i="1"/>
  <c r="O128" i="1"/>
  <c r="T128" i="1"/>
  <c r="A129" i="1"/>
  <c r="G129" i="1"/>
  <c r="H129" i="1"/>
  <c r="O129" i="1"/>
  <c r="T129" i="1"/>
  <c r="A130" i="1"/>
  <c r="G130" i="1"/>
  <c r="H130" i="1"/>
  <c r="O130" i="1"/>
  <c r="T130" i="1"/>
  <c r="A131" i="1"/>
  <c r="G131" i="1"/>
  <c r="H131" i="1"/>
  <c r="O131" i="1"/>
  <c r="T131" i="1"/>
  <c r="A132" i="1"/>
  <c r="G132" i="1"/>
  <c r="H132" i="1"/>
  <c r="O132" i="1"/>
  <c r="T132" i="1"/>
  <c r="A133" i="1"/>
  <c r="G133" i="1"/>
  <c r="H133" i="1"/>
  <c r="O133" i="1"/>
  <c r="T133" i="1"/>
  <c r="A134" i="1"/>
  <c r="G134" i="1"/>
  <c r="H134" i="1"/>
  <c r="O134" i="1"/>
  <c r="T134" i="1"/>
  <c r="A135" i="1"/>
  <c r="G135" i="1"/>
  <c r="H135" i="1"/>
  <c r="O135" i="1"/>
  <c r="T135" i="1"/>
  <c r="A136" i="1"/>
  <c r="G136" i="1"/>
  <c r="H136" i="1"/>
  <c r="O136" i="1"/>
  <c r="T136" i="1"/>
  <c r="A137" i="1"/>
  <c r="G137" i="1"/>
  <c r="H137" i="1"/>
  <c r="O137" i="1"/>
  <c r="T137" i="1"/>
  <c r="A138" i="1"/>
  <c r="G138" i="1"/>
  <c r="H138" i="1"/>
  <c r="O138" i="1"/>
  <c r="T138" i="1"/>
  <c r="A139" i="1"/>
  <c r="G139" i="1"/>
  <c r="H139" i="1"/>
  <c r="O139" i="1"/>
  <c r="T139" i="1"/>
  <c r="A140" i="1"/>
  <c r="G140" i="1"/>
  <c r="H140" i="1"/>
  <c r="O140" i="1"/>
  <c r="T140" i="1"/>
  <c r="A141" i="1"/>
  <c r="G141" i="1"/>
  <c r="H141" i="1"/>
  <c r="O141" i="1"/>
  <c r="T141" i="1"/>
  <c r="A142" i="1"/>
  <c r="G142" i="1"/>
  <c r="H142" i="1"/>
  <c r="O142" i="1"/>
  <c r="T142" i="1"/>
  <c r="A143" i="1"/>
  <c r="G143" i="1"/>
  <c r="H143" i="1"/>
  <c r="O143" i="1"/>
  <c r="T143" i="1"/>
  <c r="A144" i="1"/>
  <c r="G144" i="1"/>
  <c r="H144" i="1"/>
  <c r="O144" i="1"/>
  <c r="T144" i="1"/>
  <c r="A145" i="1"/>
  <c r="G145" i="1"/>
  <c r="H145" i="1"/>
  <c r="O145" i="1"/>
  <c r="T145" i="1"/>
  <c r="A146" i="1"/>
  <c r="G146" i="1"/>
  <c r="H146" i="1"/>
  <c r="O146" i="1"/>
  <c r="T146" i="1"/>
  <c r="A147" i="1"/>
  <c r="G147" i="1"/>
  <c r="H147" i="1"/>
  <c r="O147" i="1"/>
  <c r="T147" i="1"/>
  <c r="A148" i="1"/>
  <c r="G148" i="1"/>
  <c r="H148" i="1"/>
  <c r="O148" i="1"/>
  <c r="T148" i="1"/>
  <c r="A149" i="1"/>
  <c r="G149" i="1"/>
  <c r="H149" i="1"/>
  <c r="O149" i="1"/>
  <c r="T149" i="1"/>
  <c r="A150" i="1"/>
  <c r="G150" i="1"/>
  <c r="H150" i="1"/>
  <c r="O150" i="1"/>
  <c r="T150" i="1"/>
  <c r="A151" i="1"/>
  <c r="G151" i="1"/>
  <c r="H151" i="1"/>
  <c r="O151" i="1"/>
  <c r="T151" i="1"/>
  <c r="A152" i="1"/>
  <c r="G152" i="1"/>
  <c r="H152" i="1"/>
  <c r="O152" i="1"/>
  <c r="T152" i="1"/>
  <c r="A153" i="1"/>
  <c r="G153" i="1"/>
  <c r="H153" i="1"/>
  <c r="O153" i="1"/>
  <c r="T153" i="1"/>
  <c r="A154" i="1"/>
  <c r="G154" i="1"/>
  <c r="H154" i="1"/>
  <c r="O154" i="1"/>
  <c r="T154" i="1"/>
  <c r="A155" i="1"/>
  <c r="G155" i="1"/>
  <c r="H155" i="1"/>
  <c r="O155" i="1"/>
  <c r="T155" i="1"/>
  <c r="A156" i="1"/>
  <c r="G156" i="1"/>
  <c r="H156" i="1"/>
  <c r="O156" i="1"/>
  <c r="T156" i="1"/>
  <c r="A157" i="1"/>
  <c r="G157" i="1"/>
  <c r="H157" i="1"/>
  <c r="O157" i="1"/>
  <c r="T157" i="1"/>
  <c r="A158" i="1"/>
  <c r="G158" i="1"/>
  <c r="H158" i="1"/>
  <c r="O158" i="1"/>
  <c r="T158" i="1"/>
  <c r="A159" i="1"/>
  <c r="G159" i="1"/>
  <c r="H159" i="1"/>
  <c r="O159" i="1"/>
  <c r="T159" i="1"/>
  <c r="A160" i="1"/>
  <c r="G160" i="1"/>
  <c r="H160" i="1"/>
  <c r="O160" i="1"/>
  <c r="T160" i="1"/>
  <c r="A161" i="1"/>
  <c r="G161" i="1"/>
  <c r="H161" i="1"/>
  <c r="O161" i="1"/>
  <c r="T161" i="1"/>
  <c r="A162" i="1"/>
  <c r="G162" i="1"/>
  <c r="H162" i="1"/>
  <c r="O162" i="1"/>
  <c r="T162" i="1"/>
  <c r="A163" i="1"/>
  <c r="G163" i="1"/>
  <c r="H163" i="1"/>
  <c r="O163" i="1"/>
  <c r="T163" i="1"/>
  <c r="A164" i="1"/>
  <c r="G164" i="1"/>
  <c r="H164" i="1"/>
  <c r="O164" i="1"/>
  <c r="T164" i="1"/>
  <c r="A165" i="1"/>
  <c r="G165" i="1"/>
  <c r="H165" i="1"/>
  <c r="O165" i="1"/>
  <c r="T165" i="1"/>
  <c r="A166" i="1"/>
  <c r="G166" i="1"/>
  <c r="H166" i="1"/>
  <c r="O166" i="1"/>
  <c r="T166" i="1"/>
  <c r="A167" i="1"/>
  <c r="G167" i="1"/>
  <c r="H167" i="1"/>
  <c r="O167" i="1"/>
  <c r="T167" i="1"/>
  <c r="A168" i="1"/>
  <c r="G168" i="1"/>
  <c r="H168" i="1"/>
  <c r="O168" i="1"/>
  <c r="T168" i="1"/>
  <c r="A169" i="1"/>
  <c r="G169" i="1"/>
  <c r="H169" i="1"/>
  <c r="O169" i="1"/>
  <c r="T169" i="1"/>
  <c r="A170" i="1"/>
  <c r="G170" i="1"/>
  <c r="H170" i="1"/>
  <c r="O170" i="1"/>
  <c r="T170" i="1"/>
  <c r="A171" i="1"/>
  <c r="G171" i="1"/>
  <c r="H171" i="1"/>
  <c r="O171" i="1"/>
  <c r="T171" i="1"/>
  <c r="A172" i="1"/>
  <c r="G172" i="1"/>
  <c r="H172" i="1"/>
  <c r="O172" i="1"/>
  <c r="T172" i="1"/>
  <c r="A173" i="1"/>
  <c r="G173" i="1"/>
  <c r="H173" i="1"/>
  <c r="O173" i="1"/>
  <c r="T173" i="1"/>
  <c r="A174" i="1"/>
  <c r="G174" i="1"/>
  <c r="H174" i="1"/>
  <c r="O174" i="1"/>
  <c r="T174" i="1"/>
  <c r="A175" i="1"/>
  <c r="G175" i="1"/>
  <c r="H175" i="1"/>
  <c r="O175" i="1"/>
  <c r="T175" i="1"/>
  <c r="A176" i="1"/>
  <c r="G176" i="1"/>
  <c r="H176" i="1"/>
  <c r="O176" i="1"/>
  <c r="T176" i="1"/>
  <c r="A177" i="1"/>
  <c r="G177" i="1"/>
  <c r="H177" i="1"/>
  <c r="O177" i="1"/>
  <c r="T177" i="1"/>
  <c r="A178" i="1"/>
  <c r="G178" i="1"/>
  <c r="H178" i="1"/>
  <c r="O178" i="1"/>
  <c r="T178" i="1"/>
  <c r="A179" i="1"/>
  <c r="G179" i="1"/>
  <c r="H179" i="1"/>
  <c r="O179" i="1"/>
  <c r="T179" i="1"/>
  <c r="A180" i="1"/>
  <c r="G180" i="1"/>
  <c r="H180" i="1"/>
  <c r="O180" i="1"/>
  <c r="T180" i="1"/>
  <c r="A181" i="1"/>
  <c r="G181" i="1"/>
  <c r="H181" i="1"/>
  <c r="O181" i="1"/>
  <c r="T181" i="1"/>
  <c r="A182" i="1"/>
  <c r="G182" i="1"/>
  <c r="H182" i="1"/>
  <c r="O182" i="1"/>
  <c r="T182" i="1"/>
  <c r="A183" i="1"/>
  <c r="G183" i="1"/>
  <c r="H183" i="1"/>
  <c r="O183" i="1"/>
  <c r="T183" i="1"/>
  <c r="A184" i="1"/>
  <c r="G184" i="1"/>
  <c r="H184" i="1"/>
  <c r="O184" i="1"/>
  <c r="T184" i="1"/>
  <c r="A185" i="1"/>
  <c r="G185" i="1"/>
  <c r="H185" i="1"/>
  <c r="O185" i="1"/>
  <c r="T185" i="1"/>
  <c r="A186" i="1"/>
  <c r="G186" i="1"/>
  <c r="H186" i="1"/>
  <c r="O186" i="1"/>
  <c r="T186" i="1"/>
  <c r="A187" i="1"/>
  <c r="G187" i="1"/>
  <c r="H187" i="1"/>
  <c r="O187" i="1"/>
  <c r="T187" i="1"/>
  <c r="A188" i="1"/>
  <c r="G188" i="1"/>
  <c r="H188" i="1"/>
  <c r="O188" i="1"/>
  <c r="T188" i="1"/>
  <c r="A189" i="1"/>
  <c r="G189" i="1"/>
  <c r="H189" i="1"/>
  <c r="O189" i="1"/>
  <c r="T189" i="1"/>
  <c r="A190" i="1"/>
  <c r="G190" i="1"/>
  <c r="H190" i="1"/>
  <c r="O190" i="1"/>
  <c r="T190" i="1"/>
  <c r="A191" i="1"/>
  <c r="G191" i="1"/>
  <c r="H191" i="1"/>
  <c r="O191" i="1"/>
  <c r="T191" i="1"/>
  <c r="A192" i="1"/>
  <c r="G192" i="1"/>
  <c r="H192" i="1"/>
  <c r="O192" i="1"/>
  <c r="T192" i="1"/>
  <c r="A193" i="1"/>
  <c r="G193" i="1"/>
  <c r="H193" i="1"/>
  <c r="O193" i="1"/>
  <c r="T193" i="1"/>
  <c r="A194" i="1"/>
  <c r="G194" i="1"/>
  <c r="H194" i="1"/>
  <c r="O194" i="1"/>
  <c r="T194" i="1"/>
  <c r="A195" i="1"/>
  <c r="G195" i="1"/>
  <c r="H195" i="1"/>
  <c r="O195" i="1"/>
  <c r="T195" i="1"/>
  <c r="A196" i="1"/>
  <c r="G196" i="1"/>
  <c r="H196" i="1"/>
  <c r="O196" i="1"/>
  <c r="T196" i="1"/>
  <c r="A197" i="1"/>
  <c r="G197" i="1"/>
  <c r="H197" i="1"/>
  <c r="O197" i="1"/>
  <c r="T197" i="1"/>
  <c r="A198" i="1"/>
  <c r="G198" i="1"/>
  <c r="H198" i="1"/>
  <c r="O198" i="1"/>
  <c r="T198" i="1"/>
  <c r="A199" i="1"/>
  <c r="G199" i="1"/>
  <c r="H199" i="1"/>
  <c r="O199" i="1"/>
  <c r="T199" i="1"/>
  <c r="A200" i="1"/>
  <c r="G200" i="1"/>
  <c r="H200" i="1"/>
  <c r="O200" i="1"/>
  <c r="T200" i="1"/>
  <c r="A201" i="1"/>
  <c r="G201" i="1"/>
  <c r="H201" i="1"/>
  <c r="O201" i="1"/>
  <c r="T201" i="1"/>
  <c r="A202" i="1"/>
  <c r="G202" i="1"/>
  <c r="H202" i="1"/>
  <c r="O202" i="1"/>
  <c r="T202" i="1"/>
  <c r="A203" i="1"/>
  <c r="G203" i="1"/>
  <c r="H203" i="1"/>
  <c r="O203" i="1"/>
  <c r="T203" i="1"/>
  <c r="A204" i="1"/>
  <c r="G204" i="1"/>
  <c r="H204" i="1"/>
  <c r="O204" i="1"/>
  <c r="T204" i="1"/>
  <c r="A205" i="1"/>
  <c r="G205" i="1"/>
  <c r="H205" i="1"/>
  <c r="O205" i="1"/>
  <c r="T205" i="1"/>
  <c r="A206" i="1"/>
  <c r="G206" i="1"/>
  <c r="H206" i="1"/>
  <c r="O206" i="1"/>
  <c r="T206" i="1"/>
  <c r="A207" i="1"/>
  <c r="G207" i="1"/>
  <c r="H207" i="1"/>
  <c r="O207" i="1"/>
  <c r="T207" i="1"/>
  <c r="A208" i="1"/>
  <c r="G208" i="1"/>
  <c r="H208" i="1"/>
  <c r="O208" i="1"/>
  <c r="T208" i="1"/>
  <c r="A209" i="1"/>
  <c r="G209" i="1"/>
  <c r="H209" i="1"/>
  <c r="O209" i="1"/>
  <c r="T209" i="1"/>
  <c r="A210" i="1"/>
  <c r="G210" i="1"/>
  <c r="H210" i="1"/>
  <c r="O210" i="1"/>
  <c r="T210" i="1"/>
  <c r="A211" i="1"/>
  <c r="G211" i="1"/>
  <c r="H211" i="1"/>
  <c r="O211" i="1"/>
  <c r="T211" i="1"/>
  <c r="A212" i="1"/>
  <c r="G212" i="1"/>
  <c r="H212" i="1"/>
  <c r="O212" i="1"/>
  <c r="T212" i="1"/>
  <c r="A213" i="1"/>
  <c r="G213" i="1"/>
  <c r="H213" i="1"/>
  <c r="O213" i="1"/>
  <c r="T213" i="1"/>
  <c r="A214" i="1"/>
  <c r="G214" i="1"/>
  <c r="H214" i="1"/>
  <c r="O214" i="1"/>
  <c r="T214" i="1"/>
  <c r="A215" i="1"/>
  <c r="G215" i="1"/>
  <c r="H215" i="1"/>
  <c r="O215" i="1"/>
  <c r="T215" i="1"/>
  <c r="A216" i="1"/>
  <c r="G216" i="1"/>
  <c r="H216" i="1"/>
  <c r="O216" i="1"/>
  <c r="T216" i="1"/>
  <c r="A217" i="1"/>
  <c r="G217" i="1"/>
  <c r="H217" i="1"/>
  <c r="O217" i="1"/>
  <c r="T217" i="1"/>
  <c r="A218" i="1"/>
  <c r="G218" i="1"/>
  <c r="H218" i="1"/>
  <c r="O218" i="1"/>
  <c r="T218" i="1"/>
  <c r="A219" i="1"/>
  <c r="G219" i="1"/>
  <c r="H219" i="1"/>
  <c r="O219" i="1"/>
  <c r="T219" i="1"/>
  <c r="A220" i="1"/>
  <c r="G220" i="1"/>
  <c r="H220" i="1"/>
  <c r="O220" i="1"/>
  <c r="T220" i="1"/>
  <c r="A221" i="1"/>
  <c r="G221" i="1"/>
  <c r="H221" i="1"/>
  <c r="O221" i="1"/>
  <c r="T221" i="1"/>
  <c r="A222" i="1"/>
  <c r="G222" i="1"/>
  <c r="H222" i="1"/>
  <c r="O222" i="1"/>
  <c r="T222" i="1"/>
  <c r="A223" i="1"/>
  <c r="G223" i="1"/>
  <c r="H223" i="1"/>
  <c r="O223" i="1"/>
  <c r="T223" i="1"/>
  <c r="A224" i="1"/>
  <c r="G224" i="1"/>
  <c r="H224" i="1"/>
  <c r="O224" i="1"/>
  <c r="T224" i="1"/>
  <c r="A225" i="1"/>
  <c r="G225" i="1"/>
  <c r="H225" i="1"/>
  <c r="O225" i="1"/>
  <c r="T225" i="1"/>
  <c r="A226" i="1"/>
  <c r="G226" i="1"/>
  <c r="H226" i="1"/>
  <c r="O226" i="1"/>
  <c r="T226" i="1"/>
  <c r="A227" i="1"/>
  <c r="G227" i="1"/>
  <c r="H227" i="1"/>
  <c r="O227" i="1"/>
  <c r="T227" i="1"/>
  <c r="A228" i="1"/>
  <c r="G228" i="1"/>
  <c r="H228" i="1"/>
  <c r="O228" i="1"/>
  <c r="T228" i="1"/>
  <c r="A229" i="1"/>
  <c r="G229" i="1"/>
  <c r="H229" i="1"/>
  <c r="O229" i="1"/>
  <c r="T229" i="1"/>
  <c r="A230" i="1"/>
  <c r="G230" i="1"/>
  <c r="H230" i="1"/>
  <c r="O230" i="1"/>
  <c r="T230" i="1"/>
  <c r="A231" i="1"/>
  <c r="G231" i="1"/>
  <c r="H231" i="1"/>
  <c r="O231" i="1"/>
  <c r="T231" i="1"/>
  <c r="A232" i="1"/>
  <c r="G232" i="1"/>
  <c r="H232" i="1"/>
  <c r="O232" i="1"/>
  <c r="T232" i="1"/>
  <c r="A233" i="1"/>
  <c r="G233" i="1"/>
  <c r="H233" i="1"/>
  <c r="O233" i="1"/>
  <c r="T233" i="1"/>
  <c r="A234" i="1"/>
  <c r="G234" i="1"/>
  <c r="H234" i="1"/>
  <c r="O234" i="1"/>
  <c r="T234" i="1"/>
  <c r="A235" i="1"/>
  <c r="G235" i="1"/>
  <c r="H235" i="1"/>
  <c r="O235" i="1"/>
  <c r="T235" i="1"/>
  <c r="A236" i="1"/>
  <c r="G236" i="1"/>
  <c r="H236" i="1"/>
  <c r="O236" i="1"/>
  <c r="T236" i="1"/>
  <c r="A237" i="1"/>
  <c r="G237" i="1"/>
  <c r="H237" i="1"/>
  <c r="O237" i="1"/>
  <c r="T237" i="1"/>
  <c r="A238" i="1"/>
  <c r="G238" i="1"/>
  <c r="H238" i="1"/>
  <c r="O238" i="1"/>
  <c r="T238" i="1"/>
  <c r="A239" i="1"/>
  <c r="G239" i="1"/>
  <c r="H239" i="1"/>
  <c r="O239" i="1"/>
  <c r="T239" i="1"/>
  <c r="A240" i="1"/>
  <c r="G240" i="1"/>
  <c r="H240" i="1"/>
  <c r="O240" i="1"/>
  <c r="T240" i="1"/>
  <c r="A241" i="1"/>
  <c r="G241" i="1"/>
  <c r="H241" i="1"/>
  <c r="O241" i="1"/>
  <c r="T241" i="1"/>
  <c r="A242" i="1"/>
  <c r="G242" i="1"/>
  <c r="H242" i="1"/>
  <c r="O242" i="1"/>
  <c r="T242" i="1"/>
  <c r="A243" i="1"/>
  <c r="G243" i="1"/>
  <c r="H243" i="1"/>
  <c r="O243" i="1"/>
  <c r="T243" i="1"/>
  <c r="A244" i="1"/>
  <c r="G244" i="1"/>
  <c r="H244" i="1"/>
  <c r="O244" i="1"/>
  <c r="T244" i="1"/>
  <c r="A245" i="1"/>
  <c r="G245" i="1"/>
  <c r="H245" i="1"/>
  <c r="O245" i="1"/>
  <c r="T245" i="1"/>
  <c r="A246" i="1"/>
  <c r="G246" i="1"/>
  <c r="H246" i="1"/>
  <c r="O246" i="1"/>
  <c r="T246" i="1"/>
  <c r="A247" i="1"/>
  <c r="G247" i="1"/>
  <c r="H247" i="1"/>
  <c r="O247" i="1"/>
  <c r="T247" i="1"/>
  <c r="A248" i="1"/>
  <c r="G248" i="1"/>
  <c r="H248" i="1"/>
  <c r="O248" i="1"/>
  <c r="T248" i="1"/>
  <c r="A249" i="1"/>
  <c r="G249" i="1"/>
  <c r="H249" i="1"/>
  <c r="O249" i="1"/>
  <c r="T249" i="1"/>
  <c r="A250" i="1"/>
  <c r="G250" i="1"/>
  <c r="H250" i="1"/>
  <c r="O250" i="1"/>
  <c r="T250" i="1"/>
  <c r="A251" i="1"/>
  <c r="G251" i="1"/>
  <c r="H251" i="1"/>
  <c r="O251" i="1"/>
  <c r="T251" i="1"/>
  <c r="A252" i="1"/>
  <c r="G252" i="1"/>
  <c r="H252" i="1"/>
  <c r="O252" i="1"/>
  <c r="T252" i="1"/>
  <c r="A253" i="1"/>
  <c r="G253" i="1"/>
  <c r="H253" i="1"/>
  <c r="O253" i="1"/>
  <c r="T253" i="1"/>
  <c r="A254" i="1"/>
  <c r="G254" i="1"/>
  <c r="H254" i="1"/>
  <c r="O254" i="1"/>
  <c r="T254" i="1"/>
  <c r="A255" i="1"/>
  <c r="G255" i="1"/>
  <c r="H255" i="1"/>
  <c r="O255" i="1"/>
  <c r="T255" i="1"/>
  <c r="A256" i="1"/>
  <c r="G256" i="1"/>
  <c r="H256" i="1"/>
  <c r="O256" i="1"/>
  <c r="T256" i="1"/>
  <c r="A257" i="1"/>
  <c r="G257" i="1"/>
  <c r="H257" i="1"/>
  <c r="O257" i="1"/>
  <c r="T257" i="1"/>
  <c r="A258" i="1"/>
  <c r="G258" i="1"/>
  <c r="H258" i="1"/>
  <c r="O258" i="1"/>
  <c r="T258" i="1"/>
  <c r="A259" i="1"/>
  <c r="G259" i="1"/>
  <c r="H259" i="1"/>
  <c r="O259" i="1"/>
  <c r="T259" i="1"/>
  <c r="A260" i="1"/>
  <c r="G260" i="1"/>
  <c r="H260" i="1"/>
  <c r="O260" i="1"/>
  <c r="T260" i="1"/>
  <c r="A261" i="1"/>
  <c r="G261" i="1"/>
  <c r="H261" i="1"/>
  <c r="O261" i="1"/>
  <c r="T261" i="1"/>
  <c r="A262" i="1"/>
  <c r="G262" i="1"/>
  <c r="H262" i="1"/>
  <c r="O262" i="1"/>
  <c r="T262" i="1"/>
  <c r="A263" i="1"/>
  <c r="G263" i="1"/>
  <c r="H263" i="1"/>
  <c r="O263" i="1"/>
  <c r="T263" i="1"/>
  <c r="A264" i="1"/>
  <c r="G264" i="1"/>
  <c r="H264" i="1"/>
  <c r="O264" i="1"/>
  <c r="T264" i="1"/>
  <c r="A265" i="1"/>
  <c r="G265" i="1"/>
  <c r="H265" i="1"/>
  <c r="O265" i="1"/>
  <c r="T265" i="1"/>
  <c r="A266" i="1"/>
  <c r="G266" i="1"/>
  <c r="H266" i="1"/>
  <c r="O266" i="1"/>
  <c r="T266" i="1"/>
  <c r="A267" i="1"/>
  <c r="G267" i="1"/>
  <c r="H267" i="1"/>
  <c r="O267" i="1"/>
  <c r="T267" i="1"/>
  <c r="A268" i="1"/>
  <c r="G268" i="1"/>
  <c r="H268" i="1"/>
  <c r="O268" i="1"/>
  <c r="T268" i="1"/>
  <c r="A269" i="1"/>
  <c r="G269" i="1"/>
  <c r="H269" i="1"/>
  <c r="O269" i="1"/>
  <c r="T269" i="1"/>
  <c r="A270" i="1"/>
  <c r="G270" i="1"/>
  <c r="H270" i="1"/>
  <c r="O270" i="1"/>
  <c r="T270" i="1"/>
  <c r="A271" i="1"/>
  <c r="G271" i="1"/>
  <c r="H271" i="1"/>
  <c r="O271" i="1"/>
  <c r="T271" i="1"/>
  <c r="A272" i="1"/>
  <c r="G272" i="1"/>
  <c r="H272" i="1"/>
  <c r="O272" i="1"/>
  <c r="T272" i="1"/>
  <c r="A273" i="1"/>
  <c r="G273" i="1"/>
  <c r="H273" i="1"/>
  <c r="O273" i="1"/>
  <c r="T273" i="1"/>
  <c r="A274" i="1"/>
  <c r="G274" i="1"/>
  <c r="H274" i="1"/>
  <c r="O274" i="1"/>
  <c r="T274" i="1"/>
  <c r="A275" i="1"/>
  <c r="G275" i="1"/>
  <c r="H275" i="1"/>
  <c r="O275" i="1"/>
  <c r="T275" i="1"/>
  <c r="A276" i="1"/>
  <c r="G276" i="1"/>
  <c r="H276" i="1"/>
  <c r="O276" i="1"/>
  <c r="T276" i="1"/>
  <c r="A277" i="1"/>
  <c r="G277" i="1"/>
  <c r="H277" i="1"/>
  <c r="O277" i="1"/>
  <c r="T277" i="1"/>
  <c r="A278" i="1"/>
  <c r="G278" i="1"/>
  <c r="H278" i="1"/>
  <c r="O278" i="1"/>
  <c r="T278" i="1"/>
  <c r="A279" i="1"/>
  <c r="G279" i="1"/>
  <c r="H279" i="1"/>
  <c r="O279" i="1"/>
  <c r="A280" i="1"/>
  <c r="G280" i="1"/>
  <c r="H280" i="1"/>
  <c r="O280" i="1"/>
  <c r="T280" i="1"/>
  <c r="A281" i="1"/>
  <c r="G281" i="1"/>
  <c r="H281" i="1"/>
  <c r="O281" i="1"/>
  <c r="T281" i="1"/>
  <c r="A282" i="1"/>
  <c r="G282" i="1"/>
  <c r="H282" i="1"/>
  <c r="O282" i="1"/>
  <c r="T282" i="1"/>
  <c r="A283" i="1"/>
  <c r="G283" i="1"/>
  <c r="H283" i="1"/>
  <c r="O283" i="1"/>
  <c r="T283" i="1"/>
  <c r="A284" i="1"/>
  <c r="G284" i="1"/>
  <c r="H284" i="1"/>
  <c r="O284" i="1"/>
  <c r="T284" i="1"/>
  <c r="A285" i="1"/>
  <c r="G285" i="1"/>
  <c r="H285" i="1"/>
  <c r="O285" i="1"/>
  <c r="T285" i="1"/>
  <c r="A286" i="1"/>
  <c r="G286" i="1"/>
  <c r="H286" i="1"/>
  <c r="O286" i="1"/>
  <c r="T286" i="1"/>
  <c r="A287" i="1"/>
  <c r="G287" i="1"/>
  <c r="H287" i="1"/>
  <c r="O287" i="1"/>
  <c r="T287" i="1"/>
  <c r="A288" i="1"/>
  <c r="G288" i="1"/>
  <c r="H288" i="1"/>
  <c r="O288" i="1"/>
  <c r="T288" i="1"/>
  <c r="A289" i="1"/>
  <c r="G289" i="1"/>
  <c r="H289" i="1"/>
  <c r="O289" i="1"/>
  <c r="T289" i="1"/>
  <c r="A290" i="1"/>
  <c r="G290" i="1"/>
  <c r="H290" i="1"/>
  <c r="O290" i="1"/>
  <c r="T290" i="1"/>
  <c r="A291" i="1"/>
  <c r="G291" i="1"/>
  <c r="H291" i="1"/>
  <c r="O291" i="1"/>
  <c r="T291" i="1"/>
  <c r="A292" i="1"/>
  <c r="G292" i="1"/>
  <c r="H292" i="1"/>
  <c r="O292" i="1"/>
  <c r="T292" i="1"/>
  <c r="A293" i="1"/>
  <c r="G293" i="1"/>
  <c r="H293" i="1"/>
  <c r="O293" i="1"/>
  <c r="T293" i="1"/>
  <c r="A294" i="1"/>
  <c r="G294" i="1"/>
  <c r="H294" i="1"/>
  <c r="O294" i="1"/>
  <c r="T294" i="1"/>
  <c r="A295" i="1"/>
  <c r="G295" i="1"/>
  <c r="H295" i="1"/>
  <c r="O295" i="1"/>
  <c r="A296" i="1"/>
  <c r="G296" i="1"/>
  <c r="H296" i="1"/>
  <c r="O296" i="1"/>
  <c r="A297" i="1"/>
  <c r="G297" i="1"/>
  <c r="H297" i="1"/>
  <c r="O297" i="1"/>
  <c r="T297" i="1"/>
  <c r="A298" i="1"/>
  <c r="G298" i="1"/>
  <c r="H298" i="1"/>
  <c r="O298" i="1"/>
  <c r="T298" i="1"/>
  <c r="A299" i="1"/>
  <c r="G299" i="1"/>
  <c r="H299" i="1"/>
  <c r="O299" i="1"/>
  <c r="T299" i="1"/>
  <c r="A300" i="1"/>
  <c r="G300" i="1"/>
  <c r="H300" i="1"/>
  <c r="O300" i="1"/>
  <c r="T300" i="1"/>
  <c r="A301" i="1"/>
  <c r="G301" i="1"/>
  <c r="H301" i="1"/>
  <c r="O301" i="1"/>
  <c r="T301" i="1"/>
  <c r="A302" i="1"/>
  <c r="G302" i="1"/>
  <c r="H302" i="1"/>
  <c r="O302" i="1"/>
  <c r="T302" i="1"/>
  <c r="A303" i="1"/>
  <c r="G303" i="1"/>
  <c r="H303" i="1"/>
  <c r="O303" i="1"/>
  <c r="T303" i="1"/>
  <c r="A304" i="1"/>
  <c r="G304" i="1"/>
  <c r="H304" i="1"/>
  <c r="O304" i="1"/>
  <c r="T304" i="1"/>
  <c r="A305" i="1"/>
  <c r="G305" i="1"/>
  <c r="H305" i="1"/>
  <c r="O305" i="1"/>
  <c r="T305" i="1"/>
  <c r="A306" i="1"/>
  <c r="G306" i="1"/>
  <c r="H306" i="1"/>
  <c r="O306" i="1"/>
  <c r="T306" i="1"/>
  <c r="A307" i="1"/>
  <c r="G307" i="1"/>
  <c r="H307" i="1"/>
  <c r="O307" i="1"/>
  <c r="T307" i="1"/>
  <c r="A308" i="1"/>
  <c r="G308" i="1"/>
  <c r="H308" i="1"/>
  <c r="O308" i="1"/>
  <c r="T308" i="1"/>
  <c r="A309" i="1"/>
  <c r="G309" i="1"/>
  <c r="H309" i="1"/>
  <c r="O309" i="1"/>
  <c r="T309" i="1"/>
  <c r="A310" i="1"/>
  <c r="G310" i="1"/>
  <c r="H310" i="1"/>
  <c r="O310" i="1"/>
  <c r="A311" i="1"/>
  <c r="G311" i="1"/>
  <c r="H311" i="1"/>
  <c r="O311" i="1"/>
  <c r="T311" i="1"/>
  <c r="A312" i="1"/>
  <c r="G312" i="1"/>
  <c r="H312" i="1"/>
  <c r="O312" i="1"/>
  <c r="T312" i="1"/>
  <c r="A313" i="1"/>
  <c r="G313" i="1"/>
  <c r="H313" i="1"/>
  <c r="O313" i="1"/>
  <c r="A314" i="1"/>
  <c r="G314" i="1"/>
  <c r="H314" i="1"/>
  <c r="O314" i="1"/>
  <c r="T314" i="1"/>
  <c r="A315" i="1"/>
  <c r="G315" i="1"/>
  <c r="H315" i="1"/>
  <c r="O315" i="1"/>
  <c r="T315" i="1"/>
  <c r="A316" i="1"/>
  <c r="G316" i="1"/>
  <c r="H316" i="1"/>
  <c r="O316" i="1"/>
  <c r="A317" i="1"/>
  <c r="G317" i="1"/>
  <c r="H317" i="1"/>
  <c r="O317" i="1"/>
  <c r="T317" i="1"/>
  <c r="A318" i="1"/>
  <c r="G318" i="1"/>
  <c r="H318" i="1"/>
  <c r="O318" i="1"/>
  <c r="T318" i="1"/>
  <c r="A319" i="1"/>
  <c r="G319" i="1"/>
  <c r="H319" i="1"/>
  <c r="O319" i="1"/>
  <c r="T319" i="1"/>
  <c r="A320" i="1"/>
  <c r="G320" i="1"/>
  <c r="H320" i="1"/>
  <c r="O320" i="1"/>
  <c r="T320" i="1"/>
  <c r="A321" i="1"/>
  <c r="G321" i="1"/>
  <c r="H321" i="1"/>
  <c r="O321" i="1"/>
  <c r="A322" i="1"/>
  <c r="G322" i="1"/>
  <c r="H322" i="1"/>
  <c r="O322" i="1"/>
  <c r="A323" i="1"/>
  <c r="G323" i="1"/>
  <c r="H323" i="1"/>
  <c r="O323" i="1"/>
  <c r="T323" i="1"/>
  <c r="A324" i="1"/>
  <c r="G324" i="1"/>
  <c r="H324" i="1"/>
  <c r="O324" i="1"/>
  <c r="T324" i="1"/>
  <c r="A325" i="1"/>
  <c r="G325" i="1"/>
  <c r="H325" i="1"/>
  <c r="O325" i="1"/>
  <c r="T325" i="1"/>
  <c r="A326" i="1"/>
  <c r="G326" i="1"/>
  <c r="H326" i="1"/>
  <c r="O326" i="1"/>
  <c r="T326" i="1"/>
  <c r="A327" i="1"/>
  <c r="G327" i="1"/>
  <c r="H327" i="1"/>
  <c r="O327" i="1"/>
  <c r="T327" i="1"/>
  <c r="A328" i="1"/>
  <c r="G328" i="1"/>
  <c r="H328" i="1"/>
  <c r="O328" i="1"/>
  <c r="T328" i="1"/>
  <c r="A329" i="1"/>
  <c r="G329" i="1"/>
  <c r="H329" i="1"/>
  <c r="O329" i="1"/>
  <c r="T329" i="1"/>
  <c r="A330" i="1"/>
  <c r="G330" i="1"/>
  <c r="H330" i="1"/>
  <c r="O330" i="1"/>
  <c r="T330" i="1"/>
  <c r="A331" i="1"/>
  <c r="G331" i="1"/>
  <c r="H331" i="1"/>
  <c r="O331" i="1"/>
  <c r="T331" i="1"/>
  <c r="A332" i="1"/>
  <c r="G332" i="1"/>
  <c r="H332" i="1"/>
  <c r="O332" i="1"/>
  <c r="T332" i="1"/>
  <c r="A333" i="1"/>
  <c r="G333" i="1"/>
  <c r="H333" i="1"/>
  <c r="O333" i="1"/>
  <c r="T333" i="1"/>
  <c r="A334" i="1"/>
  <c r="G334" i="1"/>
  <c r="H334" i="1"/>
  <c r="O334" i="1"/>
  <c r="T334" i="1"/>
  <c r="A335" i="1"/>
  <c r="G335" i="1"/>
  <c r="H335" i="1"/>
  <c r="O335" i="1"/>
  <c r="T335" i="1"/>
  <c r="A336" i="1"/>
  <c r="G336" i="1"/>
  <c r="H336" i="1"/>
  <c r="O336" i="1"/>
  <c r="T336" i="1"/>
  <c r="A337" i="1"/>
  <c r="G337" i="1"/>
  <c r="H337" i="1"/>
  <c r="O337" i="1"/>
  <c r="T337" i="1"/>
  <c r="A338" i="1"/>
  <c r="G338" i="1"/>
  <c r="H338" i="1"/>
  <c r="O338" i="1"/>
  <c r="T338" i="1"/>
  <c r="A339" i="1"/>
  <c r="G339" i="1"/>
  <c r="H339" i="1"/>
  <c r="O339" i="1"/>
  <c r="T339" i="1"/>
  <c r="A340" i="1"/>
  <c r="G340" i="1"/>
  <c r="H340" i="1"/>
  <c r="O340" i="1"/>
  <c r="T340" i="1"/>
  <c r="A341" i="1"/>
  <c r="G341" i="1"/>
  <c r="H341" i="1"/>
  <c r="O341" i="1"/>
  <c r="T341" i="1"/>
  <c r="A342" i="1"/>
  <c r="G342" i="1"/>
  <c r="H342" i="1"/>
  <c r="O342" i="1"/>
  <c r="T342" i="1"/>
  <c r="A343" i="1"/>
  <c r="G343" i="1"/>
  <c r="H343" i="1"/>
  <c r="O343" i="1"/>
  <c r="T343" i="1"/>
  <c r="A344" i="1"/>
  <c r="G344" i="1"/>
  <c r="H344" i="1"/>
  <c r="O344" i="1"/>
  <c r="T344" i="1"/>
  <c r="A345" i="1"/>
  <c r="G345" i="1"/>
  <c r="H345" i="1"/>
  <c r="O345" i="1"/>
  <c r="A346" i="1"/>
  <c r="G346" i="1"/>
  <c r="H346" i="1"/>
  <c r="O346" i="1"/>
  <c r="A347" i="1"/>
  <c r="G347" i="1"/>
  <c r="H347" i="1"/>
  <c r="O347" i="1"/>
  <c r="A348" i="1"/>
  <c r="G348" i="1"/>
  <c r="H348" i="1"/>
  <c r="O348" i="1"/>
  <c r="T348" i="1"/>
  <c r="A349" i="1"/>
  <c r="G349" i="1"/>
  <c r="H349" i="1"/>
  <c r="O349" i="1"/>
  <c r="T349" i="1"/>
  <c r="A350" i="1"/>
  <c r="G350" i="1"/>
  <c r="H350" i="1"/>
  <c r="O350" i="1"/>
  <c r="T350" i="1"/>
  <c r="A351" i="1"/>
  <c r="G351" i="1"/>
  <c r="H351" i="1"/>
  <c r="O351" i="1"/>
  <c r="T351" i="1"/>
  <c r="A352" i="1"/>
  <c r="G352" i="1"/>
  <c r="H352" i="1"/>
  <c r="O352" i="1"/>
  <c r="T352" i="1"/>
  <c r="A353" i="1"/>
  <c r="G353" i="1"/>
  <c r="H353" i="1"/>
  <c r="O353" i="1"/>
  <c r="T353" i="1"/>
  <c r="A354" i="1"/>
  <c r="G354" i="1"/>
  <c r="H354" i="1"/>
  <c r="O354" i="1"/>
  <c r="T354" i="1"/>
  <c r="A355" i="1"/>
  <c r="G355" i="1"/>
  <c r="H355" i="1"/>
  <c r="O355" i="1"/>
  <c r="T355" i="1"/>
  <c r="A356" i="1"/>
  <c r="G356" i="1"/>
  <c r="O356" i="1"/>
  <c r="A357" i="1"/>
  <c r="G357" i="1"/>
  <c r="H357" i="1"/>
  <c r="O357" i="1"/>
  <c r="T357" i="1"/>
  <c r="A358" i="1"/>
  <c r="G358" i="1"/>
  <c r="H358" i="1"/>
  <c r="O358" i="1"/>
  <c r="T358" i="1"/>
  <c r="A359" i="1"/>
  <c r="G359" i="1"/>
  <c r="H359" i="1"/>
  <c r="O359" i="1"/>
  <c r="T359" i="1"/>
  <c r="A360" i="1"/>
  <c r="G360" i="1"/>
  <c r="H360" i="1"/>
  <c r="O360" i="1"/>
  <c r="T360" i="1"/>
  <c r="A361" i="1"/>
  <c r="G361" i="1"/>
  <c r="H361" i="1"/>
  <c r="O361" i="1"/>
  <c r="T361" i="1"/>
  <c r="A362" i="1"/>
  <c r="G362" i="1"/>
  <c r="H362" i="1"/>
  <c r="O362" i="1"/>
  <c r="T362" i="1"/>
  <c r="A363" i="1"/>
  <c r="G363" i="1"/>
  <c r="H363" i="1"/>
  <c r="O363" i="1"/>
  <c r="T363" i="1"/>
  <c r="A364" i="1"/>
  <c r="G364" i="1"/>
  <c r="H364" i="1"/>
  <c r="O364" i="1"/>
  <c r="T364" i="1"/>
  <c r="A365" i="1"/>
  <c r="G365" i="1"/>
  <c r="H365" i="1"/>
  <c r="O365" i="1"/>
  <c r="T365" i="1"/>
  <c r="A366" i="1"/>
  <c r="G366" i="1"/>
  <c r="H366" i="1"/>
  <c r="O366" i="1"/>
  <c r="T366" i="1"/>
  <c r="A367" i="1"/>
  <c r="G367" i="1"/>
  <c r="H367" i="1"/>
  <c r="O367" i="1"/>
  <c r="T367" i="1"/>
  <c r="A368" i="1"/>
  <c r="G368" i="1"/>
  <c r="H368" i="1"/>
  <c r="O368" i="1"/>
  <c r="T368" i="1"/>
  <c r="A369" i="1"/>
  <c r="G369" i="1"/>
  <c r="H369" i="1"/>
  <c r="O369" i="1"/>
  <c r="T369" i="1"/>
  <c r="A370" i="1"/>
  <c r="G370" i="1"/>
  <c r="H370" i="1"/>
  <c r="O370" i="1"/>
  <c r="T370" i="1"/>
  <c r="A371" i="1"/>
  <c r="G371" i="1"/>
  <c r="H371" i="1"/>
  <c r="O371" i="1"/>
  <c r="T371" i="1"/>
  <c r="A372" i="1"/>
  <c r="G372" i="1"/>
  <c r="H372" i="1"/>
  <c r="O372" i="1"/>
  <c r="T372" i="1"/>
  <c r="A373" i="1"/>
  <c r="G373" i="1"/>
  <c r="H373" i="1"/>
  <c r="O373" i="1"/>
  <c r="T373" i="1"/>
  <c r="A374" i="1"/>
  <c r="G374" i="1"/>
  <c r="H374" i="1"/>
  <c r="O374" i="1"/>
  <c r="T374" i="1"/>
  <c r="A375" i="1"/>
  <c r="G375" i="1"/>
  <c r="H375" i="1"/>
  <c r="O375" i="1"/>
  <c r="T375" i="1"/>
  <c r="A376" i="1"/>
  <c r="G376" i="1"/>
  <c r="H376" i="1"/>
  <c r="O376" i="1"/>
  <c r="T376" i="1"/>
  <c r="A377" i="1"/>
  <c r="G377" i="1"/>
  <c r="H377" i="1"/>
  <c r="O377" i="1"/>
  <c r="A378" i="1"/>
  <c r="G378" i="1"/>
  <c r="H378" i="1"/>
  <c r="O378" i="1"/>
  <c r="A379" i="1"/>
  <c r="G379" i="1"/>
  <c r="H379" i="1"/>
  <c r="O379" i="1"/>
  <c r="T379" i="1"/>
  <c r="A380" i="1"/>
  <c r="G380" i="1"/>
  <c r="H380" i="1"/>
  <c r="O380" i="1"/>
  <c r="T380" i="1"/>
  <c r="A381" i="1"/>
  <c r="G381" i="1"/>
  <c r="H381" i="1"/>
  <c r="O381" i="1"/>
  <c r="T381" i="1"/>
  <c r="A382" i="1"/>
  <c r="G382" i="1"/>
  <c r="H382" i="1"/>
  <c r="O382" i="1"/>
  <c r="T382" i="1"/>
  <c r="A383" i="1"/>
  <c r="G383" i="1"/>
  <c r="H383" i="1"/>
  <c r="O383" i="1"/>
  <c r="A384" i="1"/>
  <c r="G384" i="1"/>
  <c r="H384" i="1"/>
  <c r="O384" i="1"/>
  <c r="T384" i="1"/>
  <c r="A385" i="1"/>
  <c r="G385" i="1"/>
  <c r="H385" i="1"/>
  <c r="O385" i="1"/>
  <c r="T385" i="1"/>
  <c r="A386" i="1"/>
  <c r="G386" i="1"/>
  <c r="H386" i="1"/>
  <c r="O386" i="1"/>
  <c r="T386" i="1"/>
  <c r="A387" i="1"/>
  <c r="G387" i="1"/>
  <c r="H387" i="1"/>
  <c r="O387" i="1"/>
  <c r="A388" i="1"/>
  <c r="G388" i="1"/>
  <c r="H388" i="1"/>
  <c r="O388" i="1"/>
  <c r="A389" i="1"/>
  <c r="G389" i="1"/>
  <c r="H389" i="1"/>
  <c r="O389" i="1"/>
  <c r="A390" i="1"/>
  <c r="G390" i="1"/>
  <c r="H390" i="1"/>
  <c r="O390" i="1"/>
  <c r="T390" i="1"/>
  <c r="A391" i="1"/>
  <c r="G391" i="1"/>
  <c r="H391" i="1"/>
  <c r="O391" i="1"/>
  <c r="T391" i="1"/>
  <c r="A392" i="1"/>
  <c r="G392" i="1"/>
  <c r="H392" i="1"/>
  <c r="O392" i="1"/>
  <c r="T392" i="1"/>
  <c r="A393" i="1"/>
  <c r="G393" i="1"/>
  <c r="H393" i="1"/>
  <c r="O393" i="1"/>
  <c r="T393" i="1"/>
  <c r="A394" i="1"/>
  <c r="G394" i="1"/>
  <c r="H394" i="1"/>
  <c r="O394" i="1"/>
  <c r="T394" i="1"/>
  <c r="A395" i="1"/>
  <c r="G395" i="1"/>
  <c r="H395" i="1"/>
  <c r="O395" i="1"/>
  <c r="A396" i="1"/>
  <c r="G396" i="1"/>
  <c r="H396" i="1"/>
  <c r="O396" i="1"/>
  <c r="T396" i="1"/>
  <c r="A397" i="1"/>
  <c r="G397" i="1"/>
  <c r="H397" i="1"/>
  <c r="O397" i="1"/>
  <c r="T397" i="1"/>
  <c r="A398" i="1"/>
  <c r="G398" i="1"/>
  <c r="H398" i="1"/>
  <c r="O398" i="1"/>
  <c r="T398" i="1"/>
  <c r="A399" i="1"/>
  <c r="G399" i="1"/>
  <c r="H399" i="1"/>
  <c r="O399" i="1"/>
  <c r="T399" i="1"/>
  <c r="A400" i="1"/>
  <c r="G400" i="1"/>
  <c r="H400" i="1"/>
  <c r="O400" i="1"/>
  <c r="T400" i="1"/>
  <c r="A401" i="1"/>
  <c r="G401" i="1"/>
  <c r="H401" i="1"/>
  <c r="O401" i="1"/>
  <c r="T401" i="1"/>
  <c r="A402" i="1"/>
  <c r="G402" i="1"/>
  <c r="H402" i="1"/>
  <c r="O402" i="1"/>
  <c r="T402" i="1"/>
  <c r="A403" i="1"/>
  <c r="G403" i="1"/>
  <c r="H403" i="1"/>
  <c r="O403" i="1"/>
  <c r="T403" i="1"/>
  <c r="A404" i="1"/>
  <c r="G404" i="1"/>
  <c r="H404" i="1"/>
  <c r="O404" i="1"/>
  <c r="T404" i="1"/>
  <c r="A405" i="1"/>
  <c r="G405" i="1"/>
  <c r="H405" i="1"/>
  <c r="O405" i="1"/>
  <c r="T405" i="1"/>
  <c r="A406" i="1"/>
  <c r="G406" i="1"/>
  <c r="H406" i="1"/>
  <c r="O406" i="1"/>
  <c r="T406" i="1"/>
  <c r="A407" i="1"/>
  <c r="G407" i="1"/>
  <c r="H407" i="1"/>
  <c r="O407" i="1"/>
  <c r="T407" i="1"/>
  <c r="A408" i="1"/>
  <c r="G408" i="1"/>
  <c r="H408" i="1"/>
  <c r="O408" i="1"/>
  <c r="T408" i="1"/>
  <c r="A409" i="1"/>
  <c r="G409" i="1"/>
  <c r="H409" i="1"/>
  <c r="O409" i="1"/>
  <c r="T409" i="1"/>
  <c r="A410" i="1"/>
  <c r="G410" i="1"/>
  <c r="H410" i="1"/>
  <c r="O410" i="1"/>
  <c r="T410" i="1"/>
  <c r="A411" i="1"/>
  <c r="G411" i="1"/>
  <c r="H411" i="1"/>
  <c r="O411" i="1"/>
  <c r="T411" i="1"/>
  <c r="A412" i="1"/>
  <c r="G412" i="1"/>
  <c r="H412" i="1"/>
  <c r="O412" i="1"/>
  <c r="T412" i="1"/>
  <c r="A413" i="1"/>
  <c r="G413" i="1"/>
  <c r="H413" i="1"/>
  <c r="O413" i="1"/>
  <c r="T413" i="1"/>
  <c r="A414" i="1"/>
  <c r="G414" i="1"/>
  <c r="H414" i="1"/>
  <c r="O414" i="1"/>
  <c r="T414" i="1"/>
  <c r="A415" i="1"/>
  <c r="G415" i="1"/>
  <c r="H415" i="1"/>
  <c r="O415" i="1"/>
  <c r="T415" i="1"/>
  <c r="A416" i="1"/>
  <c r="G416" i="1"/>
  <c r="H416" i="1"/>
  <c r="O416" i="1"/>
  <c r="T416" i="1"/>
  <c r="A417" i="1"/>
  <c r="G417" i="1"/>
  <c r="H417" i="1"/>
  <c r="O417" i="1"/>
  <c r="T417" i="1"/>
  <c r="A418" i="1"/>
  <c r="G418" i="1"/>
  <c r="H418" i="1"/>
  <c r="O418" i="1"/>
  <c r="T418" i="1"/>
  <c r="A419" i="1"/>
  <c r="G419" i="1"/>
  <c r="H419" i="1"/>
  <c r="O419" i="1"/>
  <c r="T419" i="1"/>
  <c r="A420" i="1"/>
  <c r="G420" i="1"/>
  <c r="H420" i="1"/>
  <c r="O420" i="1"/>
  <c r="T420" i="1"/>
  <c r="A421" i="1"/>
  <c r="G421" i="1"/>
  <c r="H421" i="1"/>
  <c r="O421" i="1"/>
  <c r="T421" i="1"/>
  <c r="A422" i="1"/>
  <c r="G422" i="1"/>
  <c r="O422" i="1"/>
  <c r="A423" i="1"/>
  <c r="G423" i="1"/>
  <c r="O423" i="1"/>
  <c r="A424" i="1"/>
  <c r="G424" i="1"/>
  <c r="O424" i="1"/>
  <c r="A425" i="1"/>
  <c r="G425" i="1"/>
  <c r="O425" i="1"/>
  <c r="A426" i="1"/>
  <c r="G426" i="1"/>
  <c r="O426" i="1"/>
  <c r="A427" i="1"/>
  <c r="G427" i="1"/>
  <c r="O427" i="1"/>
  <c r="A428" i="1"/>
  <c r="G428" i="1"/>
  <c r="O428" i="1"/>
  <c r="A429" i="1"/>
  <c r="G429" i="1"/>
  <c r="O429" i="1"/>
  <c r="A430" i="1"/>
  <c r="G430" i="1"/>
  <c r="O430" i="1"/>
  <c r="A431" i="1"/>
  <c r="G431" i="1"/>
  <c r="H431" i="1"/>
  <c r="O431" i="1"/>
  <c r="T431" i="1"/>
  <c r="A432" i="1"/>
  <c r="G432" i="1"/>
  <c r="H432" i="1"/>
  <c r="O432" i="1"/>
  <c r="T432" i="1"/>
  <c r="A433" i="1"/>
  <c r="G433" i="1"/>
  <c r="H433" i="1"/>
  <c r="O433" i="1"/>
  <c r="T433" i="1"/>
  <c r="A434" i="1"/>
  <c r="G434" i="1"/>
  <c r="H434" i="1"/>
  <c r="O434" i="1"/>
  <c r="T434" i="1"/>
  <c r="A435" i="1"/>
  <c r="G435" i="1"/>
  <c r="H435" i="1"/>
  <c r="O435" i="1"/>
  <c r="T435" i="1"/>
  <c r="A436" i="1"/>
  <c r="G436" i="1"/>
  <c r="H436" i="1"/>
  <c r="O436" i="1"/>
  <c r="T436" i="1"/>
  <c r="A437" i="1"/>
  <c r="G437" i="1"/>
  <c r="H437" i="1"/>
  <c r="O437" i="1"/>
  <c r="T437" i="1"/>
  <c r="A438" i="1"/>
  <c r="G438" i="1"/>
  <c r="H438" i="1"/>
  <c r="O438" i="1"/>
  <c r="T438" i="1"/>
  <c r="A439" i="1"/>
  <c r="G439" i="1"/>
  <c r="H439" i="1"/>
  <c r="O439" i="1"/>
  <c r="T439" i="1"/>
  <c r="A440" i="1"/>
  <c r="G440" i="1"/>
  <c r="H440" i="1"/>
  <c r="O440" i="1"/>
  <c r="T440" i="1"/>
  <c r="A441" i="1"/>
  <c r="G441" i="1"/>
  <c r="H441" i="1"/>
  <c r="O441" i="1"/>
  <c r="T441" i="1"/>
  <c r="A442" i="1"/>
  <c r="G442" i="1"/>
  <c r="H442" i="1"/>
  <c r="O442" i="1"/>
  <c r="T442" i="1"/>
  <c r="A443" i="1"/>
  <c r="G443" i="1"/>
  <c r="H443" i="1"/>
  <c r="O443" i="1"/>
  <c r="T443" i="1"/>
  <c r="A444" i="1"/>
  <c r="G444" i="1"/>
  <c r="H444" i="1"/>
  <c r="O444" i="1"/>
  <c r="T444" i="1"/>
  <c r="A445" i="1"/>
  <c r="G445" i="1"/>
  <c r="H445" i="1"/>
  <c r="O445" i="1"/>
  <c r="T445" i="1"/>
  <c r="A446" i="1"/>
  <c r="G446" i="1"/>
  <c r="H446" i="1"/>
  <c r="O446" i="1"/>
  <c r="T446" i="1"/>
  <c r="A447" i="1"/>
  <c r="G447" i="1"/>
  <c r="H447" i="1"/>
  <c r="O447" i="1"/>
  <c r="T447" i="1"/>
  <c r="A448" i="1"/>
  <c r="G448" i="1"/>
  <c r="H448" i="1"/>
  <c r="O448" i="1"/>
  <c r="T448" i="1"/>
  <c r="A449" i="1"/>
  <c r="G449" i="1"/>
  <c r="H449" i="1"/>
  <c r="O449" i="1"/>
  <c r="T449" i="1"/>
  <c r="A450" i="1"/>
  <c r="G450" i="1"/>
  <c r="H450" i="1"/>
  <c r="O450" i="1"/>
  <c r="T450" i="1"/>
  <c r="A451" i="1"/>
  <c r="G451" i="1"/>
  <c r="H451" i="1"/>
  <c r="O451" i="1"/>
  <c r="T451" i="1"/>
  <c r="A452" i="1"/>
  <c r="G452" i="1"/>
  <c r="H452" i="1"/>
  <c r="O452" i="1"/>
  <c r="T452" i="1"/>
  <c r="A453" i="1"/>
  <c r="G453" i="1"/>
  <c r="H453" i="1"/>
  <c r="O453" i="1"/>
  <c r="T453" i="1"/>
  <c r="A454" i="1"/>
  <c r="G454" i="1"/>
  <c r="H454" i="1"/>
  <c r="O454" i="1"/>
  <c r="T454" i="1"/>
  <c r="A455" i="1"/>
  <c r="G455" i="1"/>
  <c r="H455" i="1"/>
  <c r="O455" i="1"/>
  <c r="T455" i="1"/>
  <c r="A456" i="1"/>
  <c r="G456" i="1"/>
  <c r="H456" i="1"/>
  <c r="O456" i="1"/>
  <c r="T456" i="1"/>
  <c r="A457" i="1"/>
  <c r="G457" i="1"/>
  <c r="H457" i="1"/>
  <c r="O457" i="1"/>
  <c r="T457" i="1"/>
  <c r="A458" i="1"/>
  <c r="G458" i="1"/>
  <c r="H458" i="1"/>
  <c r="O458" i="1"/>
  <c r="T458" i="1"/>
  <c r="A459" i="1"/>
  <c r="G459" i="1"/>
  <c r="H459" i="1"/>
  <c r="O459" i="1"/>
  <c r="T459" i="1"/>
  <c r="A460" i="1"/>
  <c r="G460" i="1"/>
  <c r="H460" i="1"/>
  <c r="O460" i="1"/>
  <c r="T460" i="1"/>
  <c r="A461" i="1"/>
  <c r="G461" i="1"/>
  <c r="H461" i="1"/>
  <c r="O461" i="1"/>
  <c r="T461" i="1"/>
  <c r="A462" i="1"/>
  <c r="G462" i="1"/>
  <c r="H462" i="1"/>
  <c r="O462" i="1"/>
  <c r="T462" i="1"/>
  <c r="A463" i="1"/>
  <c r="G463" i="1"/>
  <c r="O463" i="1"/>
  <c r="A464" i="1"/>
  <c r="G464" i="1"/>
  <c r="O464" i="1"/>
  <c r="A465" i="1"/>
  <c r="G465" i="1"/>
  <c r="O465" i="1"/>
  <c r="A466" i="1"/>
  <c r="G466" i="1"/>
  <c r="O466" i="1"/>
  <c r="A467" i="1"/>
  <c r="G467" i="1"/>
  <c r="O467" i="1"/>
  <c r="A468" i="1"/>
  <c r="G468" i="1"/>
  <c r="O468" i="1"/>
  <c r="A469" i="1"/>
  <c r="G469" i="1"/>
  <c r="O469" i="1"/>
  <c r="A470" i="1"/>
  <c r="G470" i="1"/>
  <c r="O470" i="1"/>
  <c r="A471" i="1"/>
  <c r="G471" i="1"/>
  <c r="O471" i="1"/>
  <c r="A472" i="1"/>
  <c r="G472" i="1"/>
  <c r="I472" i="1"/>
  <c r="O472" i="1"/>
  <c r="A473" i="1"/>
  <c r="G473" i="1"/>
  <c r="I473" i="1"/>
  <c r="O473" i="1"/>
  <c r="A474" i="1"/>
  <c r="G474" i="1"/>
  <c r="I474" i="1"/>
  <c r="O474" i="1"/>
  <c r="A475" i="1"/>
  <c r="G475" i="1"/>
  <c r="H475" i="1"/>
  <c r="O475" i="1"/>
  <c r="T475" i="1"/>
  <c r="A476" i="1"/>
  <c r="G476" i="1"/>
  <c r="H476" i="1"/>
  <c r="O476" i="1"/>
  <c r="T476" i="1"/>
  <c r="A477" i="1"/>
  <c r="G477" i="1"/>
  <c r="H477" i="1"/>
  <c r="O477" i="1"/>
  <c r="T477" i="1"/>
  <c r="A478" i="1"/>
  <c r="G478" i="1"/>
  <c r="H478" i="1"/>
  <c r="O478" i="1"/>
  <c r="T478" i="1"/>
  <c r="A479" i="1"/>
  <c r="G479" i="1"/>
  <c r="H479" i="1"/>
  <c r="O479" i="1"/>
  <c r="T479" i="1"/>
  <c r="A480" i="1"/>
  <c r="G480" i="1"/>
  <c r="H480" i="1"/>
  <c r="O480" i="1"/>
  <c r="T480" i="1"/>
  <c r="A481" i="1"/>
  <c r="G481" i="1"/>
  <c r="H481" i="1"/>
  <c r="O481" i="1"/>
  <c r="T481" i="1"/>
  <c r="A482" i="1"/>
  <c r="G482" i="1"/>
  <c r="H482" i="1"/>
  <c r="O482" i="1"/>
  <c r="T482" i="1"/>
  <c r="A483" i="1"/>
  <c r="G483" i="1"/>
  <c r="H483" i="1"/>
  <c r="O483" i="1"/>
  <c r="T483" i="1"/>
  <c r="A484" i="1"/>
  <c r="G484" i="1"/>
  <c r="H484" i="1"/>
  <c r="O484" i="1"/>
  <c r="T484" i="1"/>
  <c r="A485" i="1"/>
  <c r="G485" i="1"/>
  <c r="H485" i="1"/>
  <c r="O485" i="1"/>
  <c r="T485" i="1"/>
  <c r="A486" i="1"/>
  <c r="G486" i="1"/>
  <c r="H486" i="1"/>
  <c r="O486" i="1"/>
  <c r="T486" i="1"/>
  <c r="A487" i="1"/>
  <c r="G487" i="1"/>
  <c r="H487" i="1"/>
  <c r="O487" i="1"/>
  <c r="T487" i="1"/>
  <c r="A488" i="1"/>
  <c r="G488" i="1"/>
  <c r="H488" i="1"/>
  <c r="O488" i="1"/>
  <c r="T488" i="1"/>
  <c r="A489" i="1"/>
  <c r="G489" i="1"/>
  <c r="H489" i="1"/>
  <c r="O489" i="1"/>
  <c r="T489" i="1"/>
  <c r="A490" i="1"/>
  <c r="G490" i="1"/>
  <c r="H490" i="1"/>
  <c r="O490" i="1"/>
  <c r="T490" i="1"/>
  <c r="A491" i="1"/>
  <c r="G491" i="1"/>
  <c r="H491" i="1"/>
  <c r="O491" i="1"/>
  <c r="T491" i="1"/>
  <c r="A492" i="1"/>
  <c r="G492" i="1"/>
  <c r="H492" i="1"/>
  <c r="O492" i="1"/>
  <c r="T492" i="1"/>
  <c r="A493" i="1"/>
  <c r="G493" i="1"/>
  <c r="H493" i="1"/>
  <c r="O493" i="1"/>
  <c r="T493" i="1"/>
  <c r="A494" i="1"/>
  <c r="G494" i="1"/>
  <c r="H494" i="1"/>
  <c r="O494" i="1"/>
  <c r="T494" i="1"/>
  <c r="A495" i="1"/>
  <c r="G495" i="1"/>
  <c r="H495" i="1"/>
  <c r="O495" i="1"/>
  <c r="T495" i="1"/>
  <c r="A496" i="1"/>
  <c r="G496" i="1"/>
  <c r="H496" i="1"/>
  <c r="O496" i="1"/>
  <c r="T496" i="1"/>
  <c r="A497" i="1"/>
  <c r="G497" i="1"/>
  <c r="H497" i="1"/>
  <c r="O497" i="1"/>
  <c r="T497" i="1"/>
  <c r="A498" i="1"/>
  <c r="G498" i="1"/>
  <c r="H498" i="1"/>
  <c r="O498" i="1"/>
  <c r="T498" i="1"/>
  <c r="A499" i="1"/>
  <c r="G499" i="1"/>
  <c r="H499" i="1"/>
  <c r="O499" i="1"/>
  <c r="T499" i="1"/>
  <c r="A500" i="1"/>
  <c r="G500" i="1"/>
  <c r="H500" i="1"/>
  <c r="O500" i="1"/>
  <c r="T500" i="1"/>
  <c r="A501" i="1"/>
  <c r="G501" i="1"/>
  <c r="H501" i="1"/>
  <c r="O501" i="1"/>
  <c r="T501" i="1"/>
  <c r="A502" i="1"/>
  <c r="G502" i="1"/>
  <c r="H502" i="1"/>
  <c r="O502" i="1"/>
  <c r="T502" i="1"/>
  <c r="A503" i="1"/>
  <c r="G503" i="1"/>
  <c r="H503" i="1"/>
  <c r="O503" i="1"/>
  <c r="T503" i="1"/>
  <c r="A504" i="1"/>
  <c r="G504" i="1"/>
  <c r="H504" i="1"/>
  <c r="O504" i="1"/>
  <c r="T504" i="1"/>
  <c r="A505" i="1"/>
  <c r="G505" i="1"/>
  <c r="H505" i="1"/>
  <c r="O505" i="1"/>
  <c r="T505" i="1"/>
  <c r="A506" i="1"/>
  <c r="G506" i="1"/>
  <c r="H506" i="1"/>
  <c r="O506" i="1"/>
  <c r="T506" i="1"/>
  <c r="A507" i="1"/>
  <c r="G507" i="1"/>
  <c r="H507" i="1"/>
  <c r="O507" i="1"/>
  <c r="T507" i="1"/>
  <c r="A508" i="1"/>
  <c r="G508" i="1"/>
  <c r="H508" i="1"/>
  <c r="O508" i="1"/>
  <c r="T508" i="1"/>
  <c r="A509" i="1"/>
  <c r="G509" i="1"/>
  <c r="H509" i="1"/>
  <c r="O509" i="1"/>
  <c r="T509" i="1"/>
  <c r="A510" i="1"/>
  <c r="G510" i="1"/>
  <c r="H510" i="1"/>
  <c r="O510" i="1"/>
  <c r="T510" i="1"/>
  <c r="A511" i="1"/>
  <c r="G511" i="1"/>
  <c r="H511" i="1"/>
  <c r="O511" i="1"/>
  <c r="T511" i="1"/>
  <c r="A512" i="1"/>
  <c r="G512" i="1"/>
  <c r="H512" i="1"/>
  <c r="O512" i="1"/>
  <c r="T512" i="1"/>
  <c r="A513" i="1"/>
  <c r="G513" i="1"/>
  <c r="H513" i="1"/>
  <c r="O513" i="1"/>
  <c r="T513" i="1"/>
  <c r="A514" i="1"/>
  <c r="G514" i="1"/>
  <c r="H514" i="1"/>
  <c r="O514" i="1"/>
  <c r="T514" i="1"/>
  <c r="A515" i="1"/>
  <c r="G515" i="1"/>
  <c r="H515" i="1"/>
  <c r="O515" i="1"/>
  <c r="T515" i="1"/>
  <c r="A516" i="1"/>
  <c r="G516" i="1"/>
  <c r="H516" i="1"/>
  <c r="O516" i="1"/>
  <c r="T516" i="1"/>
  <c r="A517" i="1"/>
  <c r="G517" i="1"/>
  <c r="H517" i="1"/>
  <c r="O517" i="1"/>
  <c r="T517" i="1"/>
  <c r="A518" i="1"/>
  <c r="G518" i="1"/>
  <c r="H518" i="1"/>
  <c r="O518" i="1"/>
  <c r="T518" i="1"/>
  <c r="A519" i="1"/>
  <c r="G519" i="1"/>
  <c r="H519" i="1"/>
  <c r="O519" i="1"/>
  <c r="T519" i="1"/>
  <c r="A520" i="1"/>
  <c r="G520" i="1"/>
  <c r="H520" i="1"/>
  <c r="O520" i="1"/>
  <c r="T520" i="1"/>
  <c r="A521" i="1"/>
  <c r="G521" i="1"/>
  <c r="H521" i="1"/>
  <c r="O521" i="1"/>
  <c r="T521" i="1"/>
  <c r="A522" i="1"/>
  <c r="G522" i="1"/>
  <c r="H522" i="1"/>
  <c r="O522" i="1"/>
  <c r="T522" i="1"/>
  <c r="A523" i="1"/>
  <c r="G523" i="1"/>
  <c r="H523" i="1"/>
  <c r="O523" i="1"/>
  <c r="T523" i="1"/>
  <c r="A524" i="1"/>
  <c r="G524" i="1"/>
  <c r="H524" i="1"/>
  <c r="O524" i="1"/>
  <c r="T524" i="1"/>
  <c r="A525" i="1"/>
  <c r="G525" i="1"/>
  <c r="H525" i="1"/>
  <c r="O525" i="1"/>
  <c r="T525" i="1"/>
  <c r="A526" i="1"/>
  <c r="G526" i="1"/>
  <c r="H526" i="1"/>
  <c r="O526" i="1"/>
  <c r="T526" i="1"/>
  <c r="A527" i="1"/>
  <c r="G527" i="1"/>
  <c r="H527" i="1"/>
  <c r="O527" i="1"/>
  <c r="T527" i="1"/>
  <c r="A528" i="1"/>
  <c r="G528" i="1"/>
  <c r="H528" i="1"/>
  <c r="O528" i="1"/>
  <c r="T528" i="1"/>
  <c r="A529" i="1"/>
  <c r="G529" i="1"/>
  <c r="H529" i="1"/>
  <c r="O529" i="1"/>
  <c r="A530" i="1"/>
  <c r="G530" i="1"/>
  <c r="H530" i="1"/>
  <c r="O530" i="1"/>
  <c r="T530" i="1"/>
  <c r="A531" i="1"/>
  <c r="G531" i="1"/>
  <c r="H531" i="1"/>
  <c r="O531" i="1"/>
  <c r="T531" i="1"/>
  <c r="A532" i="1"/>
  <c r="G532" i="1"/>
  <c r="H532" i="1"/>
  <c r="O532" i="1"/>
  <c r="T532" i="1"/>
  <c r="A533" i="1"/>
  <c r="G533" i="1"/>
  <c r="H533" i="1"/>
  <c r="O533" i="1"/>
  <c r="T533" i="1"/>
  <c r="A534" i="1"/>
  <c r="G534" i="1"/>
  <c r="H534" i="1"/>
  <c r="O534" i="1"/>
  <c r="T534" i="1"/>
  <c r="A535" i="1"/>
  <c r="G535" i="1"/>
  <c r="H535" i="1"/>
  <c r="O535" i="1"/>
  <c r="T535" i="1"/>
  <c r="A536" i="1"/>
  <c r="G536" i="1"/>
  <c r="H536" i="1"/>
  <c r="O536" i="1"/>
  <c r="T536" i="1"/>
  <c r="A537" i="1"/>
  <c r="G537" i="1"/>
  <c r="H537" i="1"/>
  <c r="O537" i="1"/>
  <c r="T537" i="1"/>
  <c r="A538" i="1"/>
  <c r="G538" i="1"/>
  <c r="H538" i="1"/>
  <c r="O538" i="1"/>
  <c r="T538" i="1"/>
  <c r="A539" i="1"/>
  <c r="G539" i="1"/>
  <c r="H539" i="1"/>
  <c r="O539" i="1"/>
  <c r="T539" i="1"/>
  <c r="A540" i="1"/>
  <c r="G540" i="1"/>
  <c r="H540" i="1"/>
  <c r="O540" i="1"/>
  <c r="T540" i="1"/>
  <c r="A541" i="1"/>
  <c r="G541" i="1"/>
  <c r="H541" i="1"/>
  <c r="O541" i="1"/>
  <c r="T541" i="1"/>
  <c r="A542" i="1"/>
  <c r="G542" i="1"/>
  <c r="H542" i="1"/>
  <c r="O542" i="1"/>
  <c r="T542" i="1"/>
  <c r="A543" i="1"/>
  <c r="G543" i="1"/>
  <c r="H543" i="1"/>
  <c r="O543" i="1"/>
  <c r="T543" i="1"/>
  <c r="A544" i="1"/>
  <c r="G544" i="1"/>
  <c r="H544" i="1"/>
  <c r="O544" i="1"/>
  <c r="T544" i="1"/>
  <c r="A545" i="1"/>
  <c r="G545" i="1"/>
  <c r="H545" i="1"/>
  <c r="O545" i="1"/>
  <c r="T545" i="1"/>
  <c r="A546" i="1"/>
  <c r="G546" i="1"/>
  <c r="H546" i="1"/>
  <c r="O546" i="1"/>
  <c r="T546" i="1"/>
  <c r="A547" i="1"/>
  <c r="G547" i="1"/>
  <c r="H547" i="1"/>
  <c r="O547" i="1"/>
  <c r="T547" i="1"/>
  <c r="A548" i="1"/>
  <c r="G548" i="1"/>
  <c r="H548" i="1"/>
  <c r="O548" i="1"/>
  <c r="T548" i="1"/>
  <c r="A549" i="1"/>
  <c r="G549" i="1"/>
  <c r="H549" i="1"/>
  <c r="O549" i="1"/>
  <c r="T549" i="1"/>
  <c r="A550" i="1"/>
  <c r="G550" i="1"/>
  <c r="H550" i="1"/>
  <c r="O550" i="1"/>
  <c r="T550" i="1"/>
  <c r="A551" i="1"/>
  <c r="G551" i="1"/>
  <c r="H551" i="1"/>
  <c r="O551" i="1"/>
  <c r="T551" i="1"/>
  <c r="A552" i="1"/>
  <c r="G552" i="1"/>
  <c r="H552" i="1"/>
  <c r="O552" i="1"/>
  <c r="T552" i="1"/>
  <c r="A553" i="1"/>
  <c r="G553" i="1"/>
  <c r="H553" i="1"/>
  <c r="O553" i="1"/>
  <c r="T553" i="1"/>
  <c r="A554" i="1"/>
  <c r="G554" i="1"/>
  <c r="H554" i="1"/>
  <c r="O554" i="1"/>
  <c r="T554" i="1"/>
  <c r="A555" i="1"/>
  <c r="G555" i="1"/>
  <c r="H555" i="1"/>
  <c r="O555" i="1"/>
  <c r="T555" i="1"/>
  <c r="A556" i="1"/>
  <c r="G556" i="1"/>
  <c r="H556" i="1"/>
  <c r="O556" i="1"/>
  <c r="T556" i="1"/>
  <c r="A557" i="1"/>
  <c r="G557" i="1"/>
  <c r="H557" i="1"/>
  <c r="O557" i="1"/>
  <c r="T557" i="1"/>
  <c r="A558" i="1"/>
  <c r="G558" i="1"/>
  <c r="H558" i="1"/>
  <c r="O558" i="1"/>
  <c r="T558" i="1"/>
  <c r="A559" i="1"/>
  <c r="G559" i="1"/>
  <c r="H559" i="1"/>
  <c r="O559" i="1"/>
  <c r="T559" i="1"/>
  <c r="A560" i="1"/>
  <c r="G560" i="1"/>
  <c r="H560" i="1"/>
  <c r="O560" i="1"/>
  <c r="T560" i="1"/>
  <c r="A561" i="1"/>
  <c r="G561" i="1"/>
  <c r="H561" i="1"/>
  <c r="O561" i="1"/>
  <c r="T561" i="1"/>
  <c r="A562" i="1"/>
  <c r="G562" i="1"/>
  <c r="H562" i="1"/>
  <c r="O562" i="1"/>
  <c r="T562" i="1"/>
  <c r="A563" i="1"/>
  <c r="G563" i="1"/>
  <c r="H563" i="1"/>
  <c r="O563" i="1"/>
  <c r="T563" i="1"/>
  <c r="A564" i="1"/>
  <c r="G564" i="1"/>
  <c r="H564" i="1"/>
  <c r="O564" i="1"/>
  <c r="T564" i="1"/>
  <c r="A565" i="1"/>
  <c r="G565" i="1"/>
  <c r="H565" i="1"/>
  <c r="O565" i="1"/>
  <c r="T565" i="1"/>
  <c r="A566" i="1"/>
  <c r="G566" i="1"/>
  <c r="H566" i="1"/>
  <c r="O566" i="1"/>
  <c r="T566" i="1"/>
  <c r="A567" i="1"/>
  <c r="G567" i="1"/>
  <c r="H567" i="1"/>
  <c r="O567" i="1"/>
  <c r="T567" i="1"/>
  <c r="A568" i="1"/>
  <c r="G568" i="1"/>
  <c r="H568" i="1"/>
  <c r="O568" i="1"/>
  <c r="T568" i="1"/>
  <c r="A569" i="1"/>
  <c r="G569" i="1"/>
  <c r="H569" i="1"/>
  <c r="O569" i="1"/>
  <c r="T569" i="1"/>
  <c r="A570" i="1"/>
  <c r="G570" i="1"/>
  <c r="H570" i="1"/>
  <c r="O570" i="1"/>
  <c r="T570" i="1"/>
  <c r="A571" i="1"/>
  <c r="G571" i="1"/>
  <c r="H571" i="1"/>
  <c r="O571" i="1"/>
  <c r="T571" i="1"/>
  <c r="A572" i="1"/>
  <c r="G572" i="1"/>
  <c r="H572" i="1"/>
  <c r="O572" i="1"/>
  <c r="T572" i="1"/>
  <c r="A573" i="1"/>
  <c r="G573" i="1"/>
  <c r="H573" i="1"/>
  <c r="O573" i="1"/>
  <c r="T573" i="1"/>
  <c r="A574" i="1"/>
  <c r="G574" i="1"/>
  <c r="H574" i="1"/>
  <c r="O574" i="1"/>
  <c r="T574" i="1"/>
  <c r="A575" i="1"/>
  <c r="G575" i="1"/>
  <c r="H575" i="1"/>
  <c r="O575" i="1"/>
  <c r="T575" i="1"/>
  <c r="A576" i="1"/>
  <c r="G576" i="1"/>
  <c r="H576" i="1"/>
  <c r="O576" i="1"/>
  <c r="T576" i="1"/>
  <c r="A577" i="1"/>
  <c r="G577" i="1"/>
  <c r="H577" i="1"/>
  <c r="O577" i="1"/>
  <c r="T577" i="1"/>
  <c r="A578" i="1"/>
  <c r="G578" i="1"/>
  <c r="H578" i="1"/>
  <c r="O578" i="1"/>
  <c r="T578" i="1"/>
  <c r="A579" i="1"/>
  <c r="G579" i="1"/>
  <c r="H579" i="1"/>
  <c r="O579" i="1"/>
  <c r="T579" i="1"/>
  <c r="A580" i="1"/>
  <c r="G580" i="1"/>
  <c r="H580" i="1"/>
  <c r="O580" i="1"/>
  <c r="T580" i="1"/>
  <c r="A581" i="1"/>
  <c r="G581" i="1"/>
  <c r="H581" i="1"/>
  <c r="O581" i="1"/>
  <c r="T581" i="1"/>
  <c r="A582" i="1"/>
  <c r="G582" i="1"/>
  <c r="H582" i="1"/>
  <c r="O582" i="1"/>
  <c r="T582" i="1"/>
  <c r="A583" i="1"/>
  <c r="G583" i="1"/>
  <c r="H583" i="1"/>
  <c r="O583" i="1"/>
  <c r="T583" i="1"/>
  <c r="A584" i="1"/>
  <c r="G584" i="1"/>
  <c r="H584" i="1"/>
  <c r="O584" i="1"/>
  <c r="T584" i="1"/>
  <c r="A585" i="1"/>
  <c r="G585" i="1"/>
  <c r="H585" i="1"/>
  <c r="O585" i="1"/>
  <c r="T585" i="1"/>
  <c r="A586" i="1"/>
  <c r="G586" i="1"/>
  <c r="H586" i="1"/>
  <c r="O586" i="1"/>
  <c r="T586" i="1"/>
  <c r="A587" i="1"/>
  <c r="G587" i="1"/>
  <c r="H587" i="1"/>
  <c r="O587" i="1"/>
  <c r="T587" i="1"/>
  <c r="A588" i="1"/>
  <c r="G588" i="1"/>
  <c r="H588" i="1"/>
  <c r="O588" i="1"/>
  <c r="T588" i="1"/>
  <c r="A589" i="1"/>
  <c r="G589" i="1"/>
  <c r="H589" i="1"/>
  <c r="O589" i="1"/>
  <c r="T589" i="1"/>
  <c r="A590" i="1"/>
  <c r="G590" i="1"/>
  <c r="H590" i="1"/>
  <c r="O590" i="1"/>
  <c r="T590" i="1"/>
  <c r="A591" i="1"/>
  <c r="G591" i="1"/>
  <c r="H591" i="1"/>
  <c r="O591" i="1"/>
  <c r="T591" i="1"/>
  <c r="A592" i="1"/>
  <c r="G592" i="1"/>
  <c r="H592" i="1"/>
  <c r="O592" i="1"/>
  <c r="T592" i="1"/>
  <c r="A593" i="1"/>
  <c r="G593" i="1"/>
  <c r="H593" i="1"/>
  <c r="O593" i="1"/>
  <c r="T593" i="1"/>
  <c r="A594" i="1"/>
  <c r="G594" i="1"/>
  <c r="H594" i="1"/>
  <c r="O594" i="1"/>
  <c r="T594" i="1"/>
  <c r="A595" i="1"/>
  <c r="G595" i="1"/>
  <c r="H595" i="1"/>
  <c r="O595" i="1"/>
  <c r="T595" i="1"/>
  <c r="A596" i="1"/>
  <c r="G596" i="1"/>
  <c r="H596" i="1"/>
  <c r="O596" i="1"/>
  <c r="T596" i="1"/>
  <c r="A597" i="1"/>
  <c r="G597" i="1"/>
  <c r="H597" i="1"/>
  <c r="O597" i="1"/>
  <c r="T597" i="1"/>
  <c r="A598" i="1"/>
  <c r="G598" i="1"/>
  <c r="H598" i="1"/>
  <c r="O598" i="1"/>
  <c r="T598" i="1"/>
  <c r="A599" i="1"/>
  <c r="G599" i="1"/>
  <c r="H599" i="1"/>
  <c r="O599" i="1"/>
  <c r="T599" i="1"/>
  <c r="A600" i="1"/>
  <c r="G600" i="1"/>
  <c r="H600" i="1"/>
  <c r="O600" i="1"/>
  <c r="T600" i="1"/>
  <c r="A601" i="1"/>
  <c r="G601" i="1"/>
  <c r="H601" i="1"/>
  <c r="O601" i="1"/>
  <c r="T601" i="1"/>
  <c r="A602" i="1"/>
  <c r="G602" i="1"/>
  <c r="H602" i="1"/>
  <c r="O602" i="1"/>
  <c r="A603" i="1"/>
  <c r="G603" i="1"/>
  <c r="H603" i="1"/>
  <c r="O603" i="1"/>
  <c r="A604" i="1"/>
  <c r="G604" i="1"/>
  <c r="H604" i="1"/>
  <c r="O604" i="1"/>
  <c r="T604" i="1"/>
  <c r="A605" i="1"/>
  <c r="G605" i="1"/>
  <c r="H605" i="1"/>
  <c r="O605" i="1"/>
  <c r="T605" i="1"/>
  <c r="A606" i="1"/>
  <c r="G606" i="1"/>
  <c r="H606" i="1"/>
  <c r="O606" i="1"/>
  <c r="A607" i="1"/>
  <c r="G607" i="1"/>
  <c r="H607" i="1"/>
  <c r="O607" i="1"/>
  <c r="A608" i="1"/>
  <c r="G608" i="1"/>
  <c r="H608" i="1"/>
  <c r="O608" i="1"/>
  <c r="A609" i="1"/>
  <c r="G609" i="1"/>
  <c r="H609" i="1"/>
  <c r="O609" i="1"/>
  <c r="T609" i="1"/>
  <c r="A610" i="1"/>
  <c r="G610" i="1"/>
  <c r="H610" i="1"/>
  <c r="O610" i="1"/>
  <c r="T610" i="1"/>
  <c r="A611" i="1"/>
  <c r="G611" i="1"/>
  <c r="H611" i="1"/>
  <c r="O611" i="1"/>
  <c r="T611" i="1"/>
  <c r="A612" i="1"/>
  <c r="G612" i="1"/>
  <c r="H612" i="1"/>
  <c r="O612" i="1"/>
  <c r="T612" i="1"/>
  <c r="A613" i="1"/>
  <c r="G613" i="1"/>
  <c r="H613" i="1"/>
  <c r="O613" i="1"/>
  <c r="T613" i="1"/>
  <c r="A614" i="1"/>
  <c r="G614" i="1"/>
  <c r="H614" i="1"/>
  <c r="O614" i="1"/>
  <c r="T614" i="1"/>
  <c r="A615" i="1"/>
  <c r="G615" i="1"/>
  <c r="H615" i="1"/>
  <c r="O615" i="1"/>
  <c r="T615" i="1"/>
  <c r="A616" i="1"/>
  <c r="G616" i="1"/>
  <c r="H616" i="1"/>
  <c r="O616" i="1"/>
  <c r="A617" i="1"/>
  <c r="G617" i="1"/>
  <c r="H617" i="1"/>
  <c r="O617" i="1"/>
  <c r="A618" i="1"/>
  <c r="G618" i="1"/>
  <c r="H618" i="1"/>
  <c r="O618" i="1"/>
  <c r="T618" i="1"/>
  <c r="A619" i="1"/>
  <c r="G619" i="1"/>
  <c r="H619" i="1"/>
  <c r="O619" i="1"/>
  <c r="T619" i="1"/>
  <c r="A620" i="1"/>
  <c r="G620" i="1"/>
  <c r="H620" i="1"/>
  <c r="O620" i="1"/>
  <c r="T620" i="1"/>
  <c r="A621" i="1"/>
  <c r="G621" i="1"/>
  <c r="H621" i="1"/>
  <c r="O621" i="1"/>
  <c r="T621" i="1"/>
  <c r="A622" i="1"/>
  <c r="G622" i="1"/>
  <c r="H622" i="1"/>
  <c r="O622" i="1"/>
  <c r="T622" i="1"/>
  <c r="A623" i="1"/>
  <c r="G623" i="1"/>
  <c r="H623" i="1"/>
  <c r="O623" i="1"/>
  <c r="T623" i="1"/>
  <c r="A624" i="1"/>
  <c r="G624" i="1"/>
  <c r="H624" i="1"/>
  <c r="O624" i="1"/>
  <c r="T624" i="1"/>
  <c r="A625" i="1"/>
  <c r="G625" i="1"/>
  <c r="H625" i="1"/>
  <c r="O625" i="1"/>
  <c r="T625" i="1"/>
  <c r="A626" i="1"/>
  <c r="G626" i="1"/>
  <c r="H626" i="1"/>
  <c r="O626" i="1"/>
  <c r="T626" i="1"/>
  <c r="A627" i="1"/>
  <c r="G627" i="1"/>
  <c r="H627" i="1"/>
  <c r="O627" i="1"/>
  <c r="T627" i="1"/>
  <c r="A628" i="1"/>
  <c r="G628" i="1"/>
  <c r="H628" i="1"/>
  <c r="O628" i="1"/>
  <c r="T628" i="1"/>
  <c r="A629" i="1"/>
  <c r="G629" i="1"/>
  <c r="H629" i="1"/>
  <c r="O629" i="1"/>
  <c r="A630" i="1"/>
  <c r="G630" i="1"/>
  <c r="H630" i="1"/>
  <c r="O630" i="1"/>
  <c r="T630" i="1"/>
  <c r="A631" i="1"/>
  <c r="G631" i="1"/>
  <c r="H631" i="1"/>
  <c r="O631" i="1"/>
  <c r="T631" i="1"/>
  <c r="A632" i="1"/>
  <c r="G632" i="1"/>
  <c r="H632" i="1"/>
  <c r="O632" i="1"/>
  <c r="T632" i="1"/>
  <c r="A633" i="1"/>
  <c r="G633" i="1"/>
  <c r="H633" i="1"/>
  <c r="O633" i="1"/>
  <c r="T633" i="1"/>
  <c r="A634" i="1"/>
  <c r="G634" i="1"/>
  <c r="H634" i="1"/>
  <c r="O634" i="1"/>
  <c r="T634" i="1"/>
  <c r="A635" i="1"/>
  <c r="G635" i="1"/>
  <c r="H635" i="1"/>
  <c r="O635" i="1"/>
  <c r="T635" i="1"/>
  <c r="A636" i="1"/>
  <c r="G636" i="1"/>
  <c r="H636" i="1"/>
  <c r="O636" i="1"/>
  <c r="T636" i="1"/>
  <c r="A637" i="1"/>
  <c r="G637" i="1"/>
  <c r="H637" i="1"/>
  <c r="O637" i="1"/>
  <c r="T637" i="1"/>
  <c r="A638" i="1"/>
  <c r="G638" i="1"/>
  <c r="H638" i="1"/>
  <c r="O638" i="1"/>
  <c r="T638" i="1"/>
  <c r="A639" i="1"/>
  <c r="G639" i="1"/>
  <c r="H639" i="1"/>
  <c r="O639" i="1"/>
  <c r="T639" i="1"/>
  <c r="A640" i="1"/>
  <c r="G640" i="1"/>
  <c r="H640" i="1"/>
  <c r="O640" i="1"/>
  <c r="T640" i="1"/>
  <c r="A641" i="1"/>
  <c r="G641" i="1"/>
  <c r="H641" i="1"/>
  <c r="O641" i="1"/>
  <c r="A642" i="1"/>
  <c r="G642" i="1"/>
  <c r="H642" i="1"/>
  <c r="O642" i="1"/>
  <c r="A643" i="1"/>
  <c r="G643" i="1"/>
  <c r="H643" i="1"/>
  <c r="O643" i="1"/>
  <c r="A644" i="1"/>
  <c r="G644" i="1"/>
  <c r="H644" i="1"/>
  <c r="O644" i="1"/>
  <c r="A645" i="1"/>
  <c r="G645" i="1"/>
  <c r="H645" i="1"/>
  <c r="O645" i="1"/>
  <c r="A646" i="1"/>
  <c r="G646" i="1"/>
  <c r="H646" i="1"/>
  <c r="O646" i="1"/>
  <c r="A647" i="1"/>
  <c r="G647" i="1"/>
  <c r="H647" i="1"/>
  <c r="O647" i="1"/>
  <c r="A648" i="1"/>
  <c r="G648" i="1"/>
  <c r="H648" i="1"/>
  <c r="O648" i="1"/>
  <c r="A649" i="1"/>
  <c r="G649" i="1"/>
  <c r="H649" i="1"/>
  <c r="O649" i="1"/>
  <c r="A650" i="1"/>
  <c r="G650" i="1"/>
  <c r="H650" i="1"/>
  <c r="O650" i="1"/>
  <c r="A651" i="1"/>
  <c r="G651" i="1"/>
  <c r="H651" i="1"/>
  <c r="O651" i="1"/>
  <c r="A652" i="1"/>
  <c r="G652" i="1"/>
  <c r="H652" i="1"/>
  <c r="O652" i="1"/>
  <c r="A653" i="1"/>
  <c r="G653" i="1"/>
  <c r="H653" i="1"/>
  <c r="O653" i="1"/>
  <c r="T653" i="1"/>
  <c r="A654" i="1"/>
  <c r="G654" i="1"/>
  <c r="H654" i="1"/>
  <c r="O654" i="1"/>
  <c r="T654" i="1"/>
  <c r="A655" i="1"/>
  <c r="G655" i="1"/>
  <c r="H655" i="1"/>
  <c r="O655" i="1"/>
  <c r="T655" i="1"/>
  <c r="A656" i="1"/>
  <c r="G656" i="1"/>
  <c r="H656" i="1"/>
  <c r="O656" i="1"/>
  <c r="T656" i="1"/>
  <c r="A657" i="1"/>
  <c r="G657" i="1"/>
  <c r="H657" i="1"/>
  <c r="O657" i="1"/>
  <c r="T657" i="1"/>
  <c r="A658" i="1"/>
  <c r="G658" i="1"/>
  <c r="H658" i="1"/>
  <c r="O658" i="1"/>
  <c r="A659" i="1"/>
  <c r="G659" i="1"/>
  <c r="H659" i="1"/>
  <c r="O659" i="1"/>
  <c r="A660" i="1"/>
  <c r="G660" i="1"/>
  <c r="H660" i="1"/>
  <c r="O660" i="1"/>
  <c r="A661" i="1"/>
  <c r="G661" i="1"/>
  <c r="H661" i="1"/>
  <c r="O661" i="1"/>
  <c r="A662" i="1"/>
  <c r="G662" i="1"/>
  <c r="H662" i="1"/>
  <c r="O662" i="1"/>
  <c r="A663" i="1"/>
  <c r="G663" i="1"/>
  <c r="H663" i="1"/>
  <c r="O663" i="1"/>
  <c r="A664" i="1"/>
  <c r="G664" i="1"/>
  <c r="H664" i="1"/>
  <c r="O664" i="1"/>
  <c r="A665" i="1"/>
  <c r="G665" i="1"/>
  <c r="H665" i="1"/>
  <c r="O665" i="1"/>
  <c r="A666" i="1"/>
  <c r="G666" i="1"/>
  <c r="H666" i="1"/>
  <c r="O666" i="1"/>
  <c r="A667" i="1"/>
  <c r="G667" i="1"/>
  <c r="H667" i="1"/>
  <c r="O667" i="1"/>
  <c r="A668" i="1"/>
  <c r="G668" i="1"/>
  <c r="H668" i="1"/>
  <c r="O668" i="1"/>
  <c r="A669" i="1"/>
  <c r="G669" i="1"/>
  <c r="H669" i="1"/>
  <c r="O669" i="1"/>
  <c r="A670" i="1"/>
  <c r="G670" i="1"/>
  <c r="H670" i="1"/>
  <c r="O670" i="1"/>
  <c r="A671" i="1"/>
  <c r="G671" i="1"/>
  <c r="H671" i="1"/>
  <c r="O671" i="1"/>
  <c r="A672" i="1"/>
  <c r="G672" i="1"/>
  <c r="H672" i="1"/>
  <c r="O672" i="1"/>
  <c r="T672" i="1"/>
  <c r="A673" i="1"/>
  <c r="G673" i="1"/>
  <c r="H673" i="1"/>
  <c r="O673" i="1"/>
  <c r="T673" i="1"/>
  <c r="A674" i="1"/>
  <c r="G674" i="1"/>
  <c r="H674" i="1"/>
  <c r="O674" i="1"/>
  <c r="T674" i="1"/>
  <c r="A675" i="1"/>
  <c r="G675" i="1"/>
  <c r="H675" i="1"/>
  <c r="O675" i="1"/>
  <c r="T675" i="1"/>
  <c r="A676" i="1"/>
  <c r="G676" i="1"/>
  <c r="H676" i="1"/>
  <c r="O676" i="1"/>
  <c r="T676" i="1"/>
  <c r="A677" i="1"/>
  <c r="G677" i="1"/>
  <c r="H677" i="1"/>
  <c r="O677" i="1"/>
  <c r="T677" i="1"/>
  <c r="A678" i="1"/>
  <c r="G678" i="1"/>
  <c r="H678" i="1"/>
  <c r="O678" i="1"/>
  <c r="A679" i="1"/>
  <c r="G679" i="1"/>
  <c r="H679" i="1"/>
  <c r="O679" i="1"/>
  <c r="A680" i="1"/>
  <c r="G680" i="1"/>
  <c r="H680" i="1"/>
  <c r="O680" i="1"/>
  <c r="A681" i="1"/>
  <c r="G681" i="1"/>
  <c r="H681" i="1"/>
  <c r="O681" i="1"/>
  <c r="A682" i="1"/>
  <c r="G682" i="1"/>
  <c r="H682" i="1"/>
  <c r="O682" i="1"/>
  <c r="A683" i="1"/>
  <c r="G683" i="1"/>
  <c r="H683" i="1"/>
  <c r="O683" i="1"/>
  <c r="A684" i="1"/>
  <c r="G684" i="1"/>
  <c r="H684" i="1"/>
  <c r="O684" i="1"/>
  <c r="T684" i="1"/>
  <c r="A685" i="1"/>
  <c r="G685" i="1"/>
  <c r="H685" i="1"/>
  <c r="O685" i="1"/>
  <c r="T685" i="1"/>
  <c r="A686" i="1"/>
  <c r="G686" i="1"/>
  <c r="H686" i="1"/>
  <c r="O686" i="1"/>
  <c r="T686" i="1"/>
  <c r="A687" i="1"/>
  <c r="G687" i="1"/>
  <c r="H687" i="1"/>
  <c r="O687" i="1"/>
  <c r="T687" i="1"/>
  <c r="A688" i="1"/>
  <c r="G688" i="1"/>
  <c r="H688" i="1"/>
  <c r="O688" i="1"/>
  <c r="T688" i="1"/>
  <c r="A689" i="1"/>
  <c r="G689" i="1"/>
  <c r="H689" i="1"/>
  <c r="O689" i="1"/>
  <c r="T689" i="1"/>
  <c r="A690" i="1"/>
  <c r="G690" i="1"/>
  <c r="H690" i="1"/>
  <c r="O690" i="1"/>
  <c r="T690" i="1"/>
  <c r="A691" i="1"/>
  <c r="G691" i="1"/>
  <c r="H691" i="1"/>
  <c r="O691" i="1"/>
  <c r="T691" i="1"/>
  <c r="A692" i="1"/>
  <c r="G692" i="1"/>
  <c r="H692" i="1"/>
  <c r="O692" i="1"/>
  <c r="A693" i="1"/>
  <c r="G693" i="1"/>
  <c r="H693" i="1"/>
  <c r="O693" i="1"/>
  <c r="A694" i="1"/>
  <c r="G694" i="1"/>
  <c r="H694" i="1"/>
  <c r="O694" i="1"/>
  <c r="A695" i="1"/>
  <c r="G695" i="1"/>
  <c r="H695" i="1"/>
  <c r="O695" i="1"/>
  <c r="A696" i="1"/>
  <c r="G696" i="1"/>
  <c r="H696" i="1"/>
  <c r="O696" i="1"/>
  <c r="A697" i="1"/>
  <c r="G697" i="1"/>
  <c r="H697" i="1"/>
  <c r="O697" i="1"/>
  <c r="A698" i="1"/>
  <c r="G698" i="1"/>
  <c r="H698" i="1"/>
  <c r="O698" i="1"/>
  <c r="A699" i="1"/>
  <c r="G699" i="1"/>
  <c r="H699" i="1"/>
  <c r="O699" i="1"/>
  <c r="A700" i="1"/>
  <c r="G700" i="1"/>
  <c r="H700" i="1"/>
  <c r="O700" i="1"/>
  <c r="A701" i="1"/>
  <c r="G701" i="1"/>
  <c r="H701" i="1"/>
  <c r="O701" i="1"/>
  <c r="A702" i="1"/>
  <c r="G702" i="1"/>
  <c r="H702" i="1"/>
  <c r="O702" i="1"/>
  <c r="A703" i="1"/>
  <c r="G703" i="1"/>
  <c r="H703" i="1"/>
  <c r="O703" i="1"/>
  <c r="A704" i="1"/>
  <c r="G704" i="1"/>
  <c r="H704" i="1"/>
  <c r="O704" i="1"/>
  <c r="T704" i="1"/>
  <c r="A705" i="1"/>
  <c r="G705" i="1"/>
  <c r="H705" i="1"/>
  <c r="O705" i="1"/>
  <c r="T705" i="1"/>
  <c r="A706" i="1"/>
  <c r="G706" i="1"/>
  <c r="H706" i="1"/>
  <c r="O706" i="1"/>
  <c r="T706" i="1"/>
  <c r="A707" i="1"/>
  <c r="G707" i="1"/>
  <c r="H707" i="1"/>
  <c r="O707" i="1"/>
  <c r="T707" i="1"/>
  <c r="A708" i="1"/>
  <c r="G708" i="1"/>
  <c r="H708" i="1"/>
  <c r="O708" i="1"/>
  <c r="T708" i="1"/>
  <c r="A709" i="1"/>
  <c r="G709" i="1"/>
  <c r="H709" i="1"/>
  <c r="O709" i="1"/>
  <c r="T709" i="1"/>
  <c r="A710" i="1"/>
  <c r="G710" i="1"/>
  <c r="H710" i="1"/>
  <c r="O710" i="1"/>
  <c r="T710" i="1"/>
  <c r="A711" i="1"/>
  <c r="G711" i="1"/>
  <c r="O711" i="1"/>
  <c r="T711" i="1"/>
  <c r="A712" i="1"/>
  <c r="G712" i="1"/>
  <c r="O712" i="1"/>
</calcChain>
</file>

<file path=xl/sharedStrings.xml><?xml version="1.0" encoding="utf-8"?>
<sst xmlns="http://schemas.openxmlformats.org/spreadsheetml/2006/main" count="13335" uniqueCount="3674">
  <si>
    <t>列帳年月</t>
  </si>
  <si>
    <t>列帳單位</t>
  </si>
  <si>
    <t>製票單位</t>
  </si>
  <si>
    <t>傳票編號</t>
  </si>
  <si>
    <t>類別</t>
  </si>
  <si>
    <t>狀態</t>
  </si>
  <si>
    <t>憑證類別</t>
  </si>
  <si>
    <t>付款方式</t>
  </si>
  <si>
    <t>摘要代號</t>
  </si>
  <si>
    <t>細項金額(仟元)</t>
  </si>
  <si>
    <t>受款人金額(仟元)</t>
  </si>
  <si>
    <t>金額註記</t>
  </si>
  <si>
    <t>摘要說明</t>
  </si>
  <si>
    <t>借貸</t>
  </si>
  <si>
    <t>一級科目</t>
  </si>
  <si>
    <t>二級科目</t>
  </si>
  <si>
    <t>項目</t>
  </si>
  <si>
    <t>核准理由</t>
  </si>
  <si>
    <t>項目註記</t>
  </si>
  <si>
    <t>廠商編號</t>
  </si>
  <si>
    <t>廠商名稱</t>
  </si>
  <si>
    <t>廠商住址</t>
  </si>
  <si>
    <t>A00</t>
  </si>
  <si>
    <t>總公司　　　　　　　　　　　　　　　　　</t>
  </si>
  <si>
    <t>A00108063370020</t>
  </si>
  <si>
    <t xml:space="preserve">支出  </t>
  </si>
  <si>
    <t xml:space="preserve">付款成功    </t>
  </si>
  <si>
    <t>F3</t>
  </si>
  <si>
    <t xml:space="preserve"> </t>
  </si>
  <si>
    <t>敬老關懷暨預防登格熱宣導活動</t>
  </si>
  <si>
    <t>800000F3</t>
  </si>
  <si>
    <t xml:space="preserve">符合本公司睦鄰工作要點規定      </t>
  </si>
  <si>
    <t xml:space="preserve">台南市永康區埔園社區發展協會                                            </t>
  </si>
  <si>
    <t xml:space="preserve">台南市永康區永大路３段７９號　　　　　　　　　　　　　　　　  </t>
  </si>
  <si>
    <t>2019社區關懷弱勢暨節能減碳宣導</t>
  </si>
  <si>
    <t xml:space="preserve">屏東縣台灣心屏東情關懷協會                                              </t>
  </si>
  <si>
    <t xml:space="preserve">屏東縣新園鄉仙吉村（路）１２６號　　　　　　　　　　　　　　  </t>
  </si>
  <si>
    <t>H1</t>
  </si>
  <si>
    <t>淨堤使環境美化暨節能減碳宣導</t>
  </si>
  <si>
    <t>800000H1</t>
  </si>
  <si>
    <t xml:space="preserve">屏東縣潮州鎮東港溪河堤護樹協會                                          </t>
  </si>
  <si>
    <t xml:space="preserve">屏東縣潮州鎮永坤二巷８０號　　　　　　　　　　　　　　　　　  </t>
  </si>
  <si>
    <t>A00108063370047</t>
  </si>
  <si>
    <t>慢速壘球錦標賽活動</t>
  </si>
  <si>
    <t xml:space="preserve">苗栗縣體育會                                                            </t>
  </si>
  <si>
    <t xml:space="preserve">苗栗縣苗栗市經國路四段七十九號                                </t>
  </si>
  <si>
    <t>社區志工推動宣導節能減碳</t>
  </si>
  <si>
    <t xml:space="preserve">高雄市鳳山鳳大愛社區營造協會                                            </t>
  </si>
  <si>
    <t xml:space="preserve">高雄市鳳山區五福二路１２２號　　　　　　　　　　　　　　　　  </t>
  </si>
  <si>
    <t>節能減碳愛地球宣導</t>
  </si>
  <si>
    <t xml:space="preserve">高雄市鳳山區鳳新社區發展協會                                            </t>
  </si>
  <si>
    <t xml:space="preserve">高雄市鳳山區新興里光明路１３６號　　　　　　　　　　　　　　  </t>
  </si>
  <si>
    <t>婦女健康衛教講座</t>
  </si>
  <si>
    <t xml:space="preserve">臺南市後壁區頂安社區發展協會                                            </t>
  </si>
  <si>
    <t xml:space="preserve">台南市後壁區頂安里９１－１號　　　　　　　　　　　　　　　　  </t>
  </si>
  <si>
    <t>A00108063370058</t>
  </si>
  <si>
    <t>節約用油宣導</t>
  </si>
  <si>
    <t xml:space="preserve">苗栗縣苑裡鎮社苓社區發展協會                                            </t>
  </si>
  <si>
    <t xml:space="preserve">苗栗縣苑裡鎮社苓里6鄰68-4號                                   </t>
  </si>
  <si>
    <t>老人健康講座暨節能減碳宣導</t>
  </si>
  <si>
    <t xml:space="preserve">屏東縣新園鄉老人會                                                      </t>
  </si>
  <si>
    <t xml:space="preserve">屏東縣新園鄉鹽埔村聖心路１０９之１號　　　　　　　　　　　　  </t>
  </si>
  <si>
    <t>成果發表暨節能減碳宣導</t>
  </si>
  <si>
    <t xml:space="preserve">台灣弱勢者自強協進會                                                    </t>
  </si>
  <si>
    <t xml:space="preserve">台北市萬華區艋舺大道４２４號５樓　　　　　　　　　　　　　　  </t>
  </si>
  <si>
    <t>宜蘭舊城建築文化巡禮活動</t>
  </si>
  <si>
    <t xml:space="preserve">財團法人仰山文教基金會                                                  </t>
  </si>
  <si>
    <t xml:space="preserve">260宜蘭縣宜蘭市宜中路222號                                    </t>
  </si>
  <si>
    <t>A00108063370065</t>
  </si>
  <si>
    <t>第二屆舞舞生風響應愛心關懷弱勢</t>
  </si>
  <si>
    <t xml:space="preserve">中華民國國際舞蹈運動總會                                                </t>
  </si>
  <si>
    <t xml:space="preserve">台北市中正區忠孝東路１段７６號３樓之２　　　　　　　　　　　  </t>
  </si>
  <si>
    <t>108年社區籃球錦標賽暨節油減碳</t>
  </si>
  <si>
    <t xml:space="preserve">彰化縣你兄我弟卦山籃球會洪永富                                          </t>
  </si>
  <si>
    <t xml:space="preserve">彰化市平和里平安街１１０巷４號　　　　　　　　　　　　　　　  </t>
  </si>
  <si>
    <t>108年績優社區研習暨墓政、節約</t>
  </si>
  <si>
    <t xml:space="preserve">桃園市新屋區笨港社區發展協會                                            </t>
  </si>
  <si>
    <t xml:space="preserve">桃園市新屋區笨港里２鄰８號　　　　　　　　　　　　　　　　　  </t>
  </si>
  <si>
    <t>金太陽全國歌友會全國歌唱大賽</t>
  </si>
  <si>
    <t xml:space="preserve">金太陽全國歌友會                                                        </t>
  </si>
  <si>
    <t xml:space="preserve">彰化縣北斗鎮居仁里光仁街１７７號１樓　　　　　　　　　　　　  </t>
  </si>
  <si>
    <t>A00108063370068</t>
  </si>
  <si>
    <t>創意吸管編織活動</t>
  </si>
  <si>
    <t xml:space="preserve">社團法人宜蘭縣普達關懷協會                                              </t>
  </si>
  <si>
    <t xml:space="preserve">宜蘭縣羅東鎮四育路１５５號　　　　　　　　　　　　　　　　　  </t>
  </si>
  <si>
    <t>響應捐血救人及節能減碳宣導活動</t>
  </si>
  <si>
    <t xml:space="preserve">屏東縣內埔鄉武德民俗技藝協會沈德武                                      </t>
  </si>
  <si>
    <t xml:space="preserve">屏東縣內埔鄉豐田村中正路２９７號　　　　　　　　　　　　　　  </t>
  </si>
  <si>
    <t>節能減碳環保愛地球暨民俗歌謠</t>
  </si>
  <si>
    <t xml:space="preserve">臺南市民俗歌謠研究協會                                                  </t>
  </si>
  <si>
    <t xml:space="preserve">台南市將軍區將軍里將榮１２９－６號　　　　　　　　　　　　　  </t>
  </si>
  <si>
    <t>樂活社區健康營造暨宣導節能減碳</t>
  </si>
  <si>
    <t xml:space="preserve">新北市長青會                                                            </t>
  </si>
  <si>
    <t xml:space="preserve">新北市淡水區中正路二段２２巷１４號２４樓　　　　　　　　　　  </t>
  </si>
  <si>
    <t>A00108063370073</t>
  </si>
  <si>
    <t>108年度大埔宋江陣武術培力及服</t>
  </si>
  <si>
    <t xml:space="preserve">高雄市內門區永富社區發展協會                                            </t>
  </si>
  <si>
    <t xml:space="preserve">高雄市內門區永富里永安１４－２號　　　　　　　　　　　　　　  </t>
  </si>
  <si>
    <t>節能減碳宣導活動</t>
  </si>
  <si>
    <t xml:space="preserve">屏東縣崁頂鄉南望安社區發展協會                                          </t>
  </si>
  <si>
    <t xml:space="preserve">屏東縣崁頂鄉園寮村南安巷４１號　　　　　　　　　　　　　　　  </t>
  </si>
  <si>
    <t>環境保護教育講座花藝研習暨節能</t>
  </si>
  <si>
    <t xml:space="preserve">屏東縣東港鎮嘉蓮社區發展協會                                            </t>
  </si>
  <si>
    <t xml:space="preserve">屏東縣東港鎮嘉蓮里嘉蓮路８０之５號　　　　　　　　　　　　　  </t>
  </si>
  <si>
    <t xml:space="preserve">內埔鄉福泉社區發展協會                                                  </t>
  </si>
  <si>
    <t xml:space="preserve">屏東縣內埔鄉東勢村大同路２段福泉巷１２０號　　　　　　　　　  </t>
  </si>
  <si>
    <t>A00108063370074</t>
  </si>
  <si>
    <t>108年度第27屆市長盃太極拳錦</t>
  </si>
  <si>
    <t xml:space="preserve">高雄市太極拳推廣協會洪天德                                              </t>
  </si>
  <si>
    <t xml:space="preserve">高雄市鳳山區經武路２８巷２８號　　　　　　　　　　　　　　　  </t>
  </si>
  <si>
    <t>A00108063370077</t>
  </si>
  <si>
    <t>節能減碳節約用油宣導慶祝母親節</t>
  </si>
  <si>
    <t xml:space="preserve">臺南市產業振興交流協會                                                  </t>
  </si>
  <si>
    <t xml:space="preserve">臺南市新營區武昌街２２號　　　　　　　　　　　　　　　　　　  </t>
  </si>
  <si>
    <t>慶祝母親節媽媽樂活活動</t>
  </si>
  <si>
    <t xml:space="preserve">蘇澳鎮南寧社區發展協會                                                  </t>
  </si>
  <si>
    <t xml:space="preserve">宜蘭縣蘇澳鎮南新路１７號　　　　　　　　　　　　　　　　　　  </t>
  </si>
  <si>
    <t>第七屆H.O.T校際原創音樂大賽</t>
  </si>
  <si>
    <t xml:space="preserve">台灣青年夢想聯盟協會                                                    </t>
  </si>
  <si>
    <t xml:space="preserve">台北市松仁路１００號８樓　　　　　　　　　　　　　　　　　　  </t>
  </si>
  <si>
    <t>2019社區阿公阿嬤健康講座暨節能</t>
  </si>
  <si>
    <t xml:space="preserve">屏東縣新園鄉共和社區發展協會                                            </t>
  </si>
  <si>
    <t xml:space="preserve">屏東縣新園鄉共和村光復路１６６－１號　　　　　　　　　　　　  </t>
  </si>
  <si>
    <t>A00108063370078</t>
  </si>
  <si>
    <t>關懷獨居老人講座</t>
  </si>
  <si>
    <t xml:space="preserve">苓保社區發展協會代表人何朝明                                            </t>
  </si>
  <si>
    <t xml:space="preserve">台南縣將軍鄉保源村苓保６６之２５號　　　　　　　　　　　　　  </t>
  </si>
  <si>
    <t>關懷弱勢季節能減碳</t>
  </si>
  <si>
    <t xml:space="preserve">同安社區發展協會                                                        </t>
  </si>
  <si>
    <t xml:space="preserve">屏東縣南州鄉同安村牛埔路２號　　　　　　　　　　　　　　　　  </t>
  </si>
  <si>
    <t>長青槌球邀請賽</t>
  </si>
  <si>
    <t xml:space="preserve">桃園市楊梅區健身槌球促進會                                              </t>
  </si>
  <si>
    <t xml:space="preserve">桃園縣楊梅鎮中山北路１段１２巷１弄２３號　　　　　　　　　　  </t>
  </si>
  <si>
    <t>社區治安宣導</t>
  </si>
  <si>
    <t xml:space="preserve">苗栗縣後龍鎮埔頂社區發展協會                                            </t>
  </si>
  <si>
    <t xml:space="preserve">苗栗縣後龍鎮埔頂里７鄰５７號　　　　　　　　　　　　　　　　  </t>
  </si>
  <si>
    <t>A00108063370079</t>
  </si>
  <si>
    <t>兒少保護節約能源水土保持宣導</t>
  </si>
  <si>
    <t xml:space="preserve">彰化縣鹿港鎮頭崙社區發展協會                                            </t>
  </si>
  <si>
    <t xml:space="preserve">彰化縣鹿港鎮頭崙里埔尾巷５０號　　　　　　　　　　　　　　　  </t>
  </si>
  <si>
    <t>慶祝母親節暨宣導節能減碳</t>
  </si>
  <si>
    <t xml:space="preserve">台南市麻豆區南勢社區發展協會                                            </t>
  </si>
  <si>
    <t xml:space="preserve">台南市麻豆區關帝廟２３號　　　　　　　　　　　　　　　　　　  </t>
  </si>
  <si>
    <t>食的文化生命故事活動暨節能減碳</t>
  </si>
  <si>
    <t xml:space="preserve">屏東縣新園鄉瓦（石＋謠－言）社區發展協會                                </t>
  </si>
  <si>
    <t xml:space="preserve">屏東縣新園鎮瓦（石＋謠－言）村後大厝路１６－１２號　　　　　  </t>
  </si>
  <si>
    <t>祈福踩街活動</t>
  </si>
  <si>
    <t xml:space="preserve">苗栗縣苑裡鎮山柑社區發展協會                                            </t>
  </si>
  <si>
    <t xml:space="preserve">苗栗縣苑裡鎮山柑里1鄰5-5號                                    </t>
  </si>
  <si>
    <t>A00108063370080</t>
  </si>
  <si>
    <t>垃圾清除暨節能減碳宣導</t>
  </si>
  <si>
    <t xml:space="preserve">高雄市鳳山鳳凰山山友會黃侯金葉                                          </t>
  </si>
  <si>
    <t xml:space="preserve">高雄市鳳山區光遠路３５４號　　　　　　　　　　　　　　　　　  </t>
  </si>
  <si>
    <t xml:space="preserve">彰化縣彰化市五權社區發展協會                                            </t>
  </si>
  <si>
    <t xml:space="preserve">彰化市金馬路３段１０２巷３０號　　　　　　　　　　　　　　　  </t>
  </si>
  <si>
    <t>關懷弱勢族群暨節能減碳宣導</t>
  </si>
  <si>
    <t xml:space="preserve">屏東縣內埔鄉燈籠花社區老人會                                            </t>
  </si>
  <si>
    <t xml:space="preserve">屏東縣內埔鄉和興村和興路１４９號　　　　　　　　　　　　　　  </t>
  </si>
  <si>
    <t>槌球邀請賽</t>
  </si>
  <si>
    <t xml:space="preserve">南投縣退休生涯規劃協會                                                  </t>
  </si>
  <si>
    <t xml:space="preserve">南投縣名間鄉中山村頂（廊－部＋郎）巷３３－１６號　　　　　　  </t>
  </si>
  <si>
    <t>A00108063370081</t>
  </si>
  <si>
    <t>元宵踩街文化傳承慶典暨社會福利</t>
  </si>
  <si>
    <t xml:space="preserve">桃園市民俗傳藝協會                                                      </t>
  </si>
  <si>
    <t xml:space="preserve">桃園市觀音區藍埔里8鄰24-10號                                  </t>
  </si>
  <si>
    <t>銀髮族筋絡伸展講座暨節能減碳宣</t>
  </si>
  <si>
    <t xml:space="preserve">屏東縣國際標準舞蹈發展協會                                              </t>
  </si>
  <si>
    <t xml:space="preserve">屏東市中正里莊敬街二段７巷１２號　　　　　　　　　　　　　　  </t>
  </si>
  <si>
    <t>快樂盃親子槌球邀請賽暨節約能源</t>
  </si>
  <si>
    <t xml:space="preserve">臺中市身心障礙槌球運動推廣協會蔡山河                                    </t>
  </si>
  <si>
    <t xml:space="preserve">台中市清水區田寮里三田路１２－１０號　　　　　　　　　　　　  </t>
  </si>
  <si>
    <t>108年石油液化瓦斯安全使用宣導</t>
  </si>
  <si>
    <t xml:space="preserve">台南市學甲區一秀社區發展協會                                            </t>
  </si>
  <si>
    <t xml:space="preserve">台南市學甲區秀昌里一秀６９號　　　　　　　　　　　　　　　　  </t>
  </si>
  <si>
    <t>A00108063370083</t>
  </si>
  <si>
    <t>推動敦親睦鄰環保減碳多氧多氛多</t>
  </si>
  <si>
    <t xml:space="preserve">臺南市社區衛生促進會                                                    </t>
  </si>
  <si>
    <t xml:space="preserve">台南市新營區武昌街２２號　　　　　　　　　　　　　　　　　　  </t>
  </si>
  <si>
    <t>108年度戶外生態藝術教學-童顏</t>
  </si>
  <si>
    <t xml:space="preserve">社團法人高雄市源生慈善會                                                </t>
  </si>
  <si>
    <t xml:space="preserve">高雄市大寮區翁園路８５號　　　　　　　　　　　　　　　　　　  </t>
  </si>
  <si>
    <t>108年防詐騙宣導暨節能減碳</t>
  </si>
  <si>
    <t xml:space="preserve">新北市金山區兩西社區發展協會                                            </t>
  </si>
  <si>
    <t xml:space="preserve">新北市金山區兩湖里倒照湖７號　　　　　　　　　　　　　　　　  </t>
  </si>
  <si>
    <t>108年健康講座暨宣導低碳能源政</t>
  </si>
  <si>
    <t xml:space="preserve">臺南市仁德百合協進會                                                    </t>
  </si>
  <si>
    <t xml:space="preserve">臺南市仁德區中洲里２５３－１號　　　　　　　　　　　　　　　  </t>
  </si>
  <si>
    <t>A00108063370085</t>
  </si>
  <si>
    <t>行動支付繳電費快速pay活動</t>
  </si>
  <si>
    <t xml:space="preserve">桃園市楊梅區新城市促進會                                                </t>
  </si>
  <si>
    <t xml:space="preserve">桃園市楊梅區中山路３４號　　　　　　　　　　　　　　　　　　  </t>
  </si>
  <si>
    <t>2019春季淨灘愛護海洋活動</t>
  </si>
  <si>
    <t xml:space="preserve">宜蘭縣世合釣友協會                                                      </t>
  </si>
  <si>
    <t xml:space="preserve">宜蘭市和睦路５９號　　　　　　　　　　　　　　　　　　　　　  </t>
  </si>
  <si>
    <t>108年度珍愛地球活動</t>
  </si>
  <si>
    <t xml:space="preserve">臺南市青年志工服務協會                                                  </t>
  </si>
  <si>
    <t xml:space="preserve">台南市新營區民治路３４號　　　　　　　　　　　　　　　　　　  </t>
  </si>
  <si>
    <t>健康講座暨節能減碳宣導活動</t>
  </si>
  <si>
    <t xml:space="preserve">屏東縣龍安觀音宗教文化協會                                              </t>
  </si>
  <si>
    <t xml:space="preserve">屏東縣枋寮鄉隆山村中正大路６２號　　　　　　　　　　　　　　  </t>
  </si>
  <si>
    <t>A00108063370087</t>
  </si>
  <si>
    <t>慈母心、感恩情、節能減碳你我行</t>
  </si>
  <si>
    <t xml:space="preserve">南投縣民俗音樂發展協會                                                  </t>
  </si>
  <si>
    <t xml:space="preserve">南投縣埔里鎮北澤街１３０號　　　　　　　　　　　　　　　　　  </t>
  </si>
  <si>
    <t>節能減碳我行動宣導暨慢速壘球</t>
  </si>
  <si>
    <t xml:space="preserve">桃園市菁英慢速壘球協會涂布天                                            </t>
  </si>
  <si>
    <t>第五屆環保地球日暨節能減碳綠化</t>
  </si>
  <si>
    <t xml:space="preserve">亞洲藝術學會黃明志                                                      </t>
  </si>
  <si>
    <t xml:space="preserve">南投縣草屯鎮碧山路14號3樓之5                                  </t>
  </si>
  <si>
    <t>關懷獨居老人寒冬送愛心暨節能減</t>
  </si>
  <si>
    <t xml:space="preserve">屏東縣萬丹鄉老人會                                                      </t>
  </si>
  <si>
    <t xml:space="preserve">屏東縣萬丹鄉新庄村新鍾路２３２號　　　　　　　　　　　　　　  </t>
  </si>
  <si>
    <t>A00108063370088</t>
  </si>
  <si>
    <t>節能減碳暨社區里民防疫宣導活動</t>
  </si>
  <si>
    <t xml:space="preserve">新北市汐止區北忠社區發展協會                                            </t>
  </si>
  <si>
    <t xml:space="preserve">新北市汐止區康寧街１４１巷５號　　　　　　　　　　　　　　　  </t>
  </si>
  <si>
    <t>30周年環保祈福活動</t>
  </si>
  <si>
    <t xml:space="preserve">新北市淡水區鄧公國民小學保管金專戶                                      </t>
  </si>
  <si>
    <t xml:space="preserve">新北市淡水區學府路99號                                        </t>
  </si>
  <si>
    <t>108年度母親節暨節約能源、節能</t>
  </si>
  <si>
    <t xml:space="preserve">彰化縣秀水鄉鶴鳴社區發展協會                                            </t>
  </si>
  <si>
    <t xml:space="preserve">彰化縣秀水鄉鶴鳴村馬鳴路５５號　　　　　　　　　　　　　　　  </t>
  </si>
  <si>
    <t>A00108063370089</t>
  </si>
  <si>
    <t>108年度母親節慶祝活動暨親子節</t>
  </si>
  <si>
    <t xml:space="preserve">彰化縣愛心婦女關懷協會                                                  </t>
  </si>
  <si>
    <t xml:space="preserve">彰化縣秀水鄉馬興村雅興街１１５巷８０號　　　　　　　　　　　  </t>
  </si>
  <si>
    <t>108年度環保減碳親子健行暨預防</t>
  </si>
  <si>
    <t xml:space="preserve">臺中市后里區預防犯罪宣導協會                                            </t>
  </si>
  <si>
    <t xml:space="preserve">台中市后里區后科南路５１號　　　　　　　　　　　　　　　　　  </t>
  </si>
  <si>
    <t>關懷社區老人預防保健及節能減碳</t>
  </si>
  <si>
    <t xml:space="preserve">桃園市弱勢者關懷協會鍾運昌                                              </t>
  </si>
  <si>
    <t xml:space="preserve">桃園市中壢區吉長街６９號３樓　　　　　　　　　　　　　　　　  </t>
  </si>
  <si>
    <t>108年媽媽教室手中菜，一世情活</t>
  </si>
  <si>
    <t xml:space="preserve">崁腳社區發展協會                                                        </t>
  </si>
  <si>
    <t xml:space="preserve">雲林縣古坑鄉崁腳村崁腳１２之１９號　　　　　　　　　　　　　  </t>
  </si>
  <si>
    <t>A00108063370090</t>
  </si>
  <si>
    <t>關懷弱勢民俗技藝表演暨節能減碳</t>
  </si>
  <si>
    <t xml:space="preserve">屏東縣屏東市聖威民俗技藝發展協會                                        </t>
  </si>
  <si>
    <t xml:space="preserve">屏東市蘭州街１１３號　　　　　　　　　　　　　　　　　　　　  </t>
  </si>
  <si>
    <t>環保節能宣導活動</t>
  </si>
  <si>
    <t xml:space="preserve">雲林縣梅荷協會                                                          </t>
  </si>
  <si>
    <t xml:space="preserve">雲林縣斗六市公正街２１４巷１號　　　　　　　　　　　　　　　  </t>
  </si>
  <si>
    <t>千人健行賞桐花暨節能減碳宣導活</t>
  </si>
  <si>
    <t xml:space="preserve">彰化縣農村暨社區發展協會                                                </t>
  </si>
  <si>
    <t xml:space="preserve">彰化市台鳳里一德南路２５５號　　　　　　　　　　　　　　　　  </t>
  </si>
  <si>
    <t>A00108063370095</t>
  </si>
  <si>
    <t>客家米食文化暨節能減碳宣導活動</t>
  </si>
  <si>
    <t xml:space="preserve">屏東縣長治鄉崙上社區發展協會                                            </t>
  </si>
  <si>
    <t xml:space="preserve">屏東縣長治鄉崙上村中興路４４８巷２８號　　　　　　　　　　　  </t>
  </si>
  <si>
    <t>關懷老人健康講座暨節能減碳宣導</t>
  </si>
  <si>
    <t xml:space="preserve">屏東縣東港鎮東隆老人福利促進會                                          </t>
  </si>
  <si>
    <t xml:space="preserve">屏東縣東港鎮興東里明德街８３號　　　　　　　　　　　　　　　  </t>
  </si>
  <si>
    <t>108年關懷弱勢族群健康講座暨節</t>
  </si>
  <si>
    <t xml:space="preserve">屏東縣東港鎮龍樹王公慈善會                                              </t>
  </si>
  <si>
    <t xml:space="preserve">屏東縣東港鎮船頭里船頭路２４－８４號　　　　　　　　　　　　  </t>
  </si>
  <si>
    <t>108年長壽俱樂部節能減碳宣導活</t>
  </si>
  <si>
    <t xml:space="preserve">屏東縣新園鄉後厝社區發展協會                                            </t>
  </si>
  <si>
    <t xml:space="preserve">屏東縣新園鄉瓦（瑤－王＋石）村後厝路７號　　　　　　　　　　  </t>
  </si>
  <si>
    <t>A00108063370097</t>
  </si>
  <si>
    <t>關懷老人講座暨節能宣導活動</t>
  </si>
  <si>
    <t xml:space="preserve">屏東縣東港鎮老人福利協進會                                              </t>
  </si>
  <si>
    <t xml:space="preserve">屏東縣東港鎮鎮海里４２－２０號　　　　　　　　　　　　　　　  </t>
  </si>
  <si>
    <t>冷泉盃不老棒球活動</t>
  </si>
  <si>
    <t xml:space="preserve">宜蘭縣蘇澳鎮體育會                                                      </t>
  </si>
  <si>
    <t xml:space="preserve">宜蘭縣蘇澳鎮志成路６０號　　　　　　　　　　　　　　　　　　  </t>
  </si>
  <si>
    <t>節能減碳宣導暨生活健康講座</t>
  </si>
  <si>
    <t xml:space="preserve">臺南市後壁區嘉田社區發展協會                                            </t>
  </si>
  <si>
    <t xml:space="preserve">台南市後壁區嘉田里３８－１號　　　　　　　　　　　　　　　　  </t>
  </si>
  <si>
    <t>溪南溪北圍棋賽暨節能減碳宣導</t>
  </si>
  <si>
    <t xml:space="preserve">台南市民生圍棋文化協會                                                  </t>
  </si>
  <si>
    <t xml:space="preserve">台南市北區文賢路３６５巷１１號　　　　　　　　　　　　　　　  </t>
  </si>
  <si>
    <t>A00108063370098</t>
  </si>
  <si>
    <t>108年母親節關懷弱勢暨節油減碳</t>
  </si>
  <si>
    <t xml:space="preserve">彰化縣彰化市南瑤老人會                                                  </t>
  </si>
  <si>
    <t xml:space="preserve">彰化市民權路１５５號３樓（民權市場３樓）　　　　　　　　　　  </t>
  </si>
  <si>
    <t>108年關懷老人歌唱比賽暨節能減</t>
  </si>
  <si>
    <t xml:space="preserve">新北市金山區金包里社區發展協會                                          </t>
  </si>
  <si>
    <t xml:space="preserve">新北市金山區金包里街９５號　　　　　　　　　　　　　　　　　  </t>
  </si>
  <si>
    <t>婦女成長學習暨節能減碳宣導活動</t>
  </si>
  <si>
    <t xml:space="preserve">屏東縣部落大學促進會                                                    </t>
  </si>
  <si>
    <t xml:space="preserve">屏東市民享路７２－１號　　　　　　　　　　　　　　　　　　　  </t>
  </si>
  <si>
    <t>A00108063370100</t>
  </si>
  <si>
    <t>宣導正確用油節約能源</t>
  </si>
  <si>
    <t xml:space="preserve">北埔社區發展協會                                                        </t>
  </si>
  <si>
    <t xml:space="preserve">台南市將軍區北埔里１９號　　　　　　　　　　　　　　　　　　  </t>
  </si>
  <si>
    <t>節約用電用油宣導</t>
  </si>
  <si>
    <t xml:space="preserve">臺中市清水區里長協會                                                    </t>
  </si>
  <si>
    <t xml:space="preserve">台中市清水區楊厝里楊厝一街５１巷３６號　　　　　　　　　　　  </t>
  </si>
  <si>
    <t>民俗活動暨節能減碳宣導</t>
  </si>
  <si>
    <t xml:space="preserve">臺南市二寮尖（上山＋夆）宋江陣民俗文化協會                              </t>
  </si>
  <si>
    <t xml:space="preserve">臺南市永康區國光六街１４號　　　　　　　　　　　　　　　　　  </t>
  </si>
  <si>
    <t>拱照埔心情興祐螺陽心</t>
  </si>
  <si>
    <t xml:space="preserve">雲林縣西螺鎮詔安社區發展協會                                            </t>
  </si>
  <si>
    <t xml:space="preserve">雲林縣西螺鎮詔安里詔安１６－１號　　　　　　　　　　　　　　  </t>
  </si>
  <si>
    <t>V</t>
  </si>
  <si>
    <t>A00108073370005</t>
  </si>
  <si>
    <t>手繪媽咪感恩慶祝活動</t>
  </si>
  <si>
    <t xml:space="preserve">社團法人高雄市調色板協會                                                </t>
  </si>
  <si>
    <t xml:space="preserve">高雄市苓雅區海邊路９６號３樓之４　　　　　　　　　　　　　　  </t>
  </si>
  <si>
    <t>詔安客語演講比賽</t>
  </si>
  <si>
    <t xml:space="preserve">雲林縣西螺鎮魚寮白沙屯媽祖會                                            </t>
  </si>
  <si>
    <t xml:space="preserve">雲林縣西螺鎮七座里７鄰文和路５號　　　　　　　　　　　　　　  </t>
  </si>
  <si>
    <t>節能減碳宣導</t>
  </si>
  <si>
    <t xml:space="preserve">屏東縣身心靈瑜珈交流服務協會李永鈺                                      </t>
  </si>
  <si>
    <t xml:space="preserve">屏東市玉成里公興路５９５號　　　　　　　　　　　　　　　　　  </t>
  </si>
  <si>
    <t>A00108073370006</t>
  </si>
  <si>
    <t>關懷弱勢暨節能減碳</t>
  </si>
  <si>
    <t xml:space="preserve">屏東縣潮州鎮太極氣功協會                                                </t>
  </si>
  <si>
    <t xml:space="preserve">屏東縣潮州鎮光春路６２－６號　　　　　　　　　　　　　　　　  </t>
  </si>
  <si>
    <t xml:space="preserve">臺中市臺中港區經濟繁榮促進會                                            </t>
  </si>
  <si>
    <t xml:space="preserve">台中市梧樓區臨港路4段886號                                    </t>
  </si>
  <si>
    <t>節能減碳暨水土保持宣導</t>
  </si>
  <si>
    <t xml:space="preserve">社團法人南投縣草屯鎮老人會                                              </t>
  </si>
  <si>
    <t xml:space="preserve">南投縣草屯鎮玉峰街２－２號　　　　　　　　　　　　　　　　　  </t>
  </si>
  <si>
    <t>健康衛生講座暨節約能源宣導</t>
  </si>
  <si>
    <t xml:space="preserve">屏東縣崁頂鄉踏青文化協會                                                </t>
  </si>
  <si>
    <t xml:space="preserve">屏東縣崁頂鄉圍內村竹圍路３０號　　　　　　　　　　　　　　　  </t>
  </si>
  <si>
    <t>A00108073370007</t>
  </si>
  <si>
    <t>愛與關懷暨節能減碳宣導</t>
  </si>
  <si>
    <t xml:space="preserve">社團法人臺南市佑康社會文教慈善關懷協會胡逸凡                            </t>
  </si>
  <si>
    <t xml:space="preserve">台南市新營區太子路１５３巷５６弄３號　　　　　　　　　　　　  </t>
  </si>
  <si>
    <t>南投集集之美環保寫生比賽</t>
  </si>
  <si>
    <t xml:space="preserve">中華亞太華人文經交流協會                                                </t>
  </si>
  <si>
    <t xml:space="preserve">南投縣草屯鎮碧山路１４號３樓之５　　　　　　　　　　　　　　  </t>
  </si>
  <si>
    <t>老人福利暨節約用油、用電宣導</t>
  </si>
  <si>
    <t xml:space="preserve">桃園市長青生活終身關懷協會古慶晃                                        </t>
  </si>
  <si>
    <t xml:space="preserve">桃園市平鎮區承德路２７號　　　　　　　　　　　　　　　　　　  </t>
  </si>
  <si>
    <t>母親節親子晚會暨節能減碳宣導</t>
  </si>
  <si>
    <t xml:space="preserve">臺南市鹽行禹帝宮愛心慈善會                                              </t>
  </si>
  <si>
    <t xml:space="preserve">臺南市永康區鹽行路２７號　　　　　　　　　　　　　　　　　　  </t>
  </si>
  <si>
    <t>A00108073370018</t>
  </si>
  <si>
    <t>養生之道講座暨節能減碳宣導活動</t>
  </si>
  <si>
    <t xml:space="preserve">屏東縣東港鎮鎮海公園長青協會                                            </t>
  </si>
  <si>
    <t xml:space="preserve">屏東縣東港鎮興台里朝陽路７３號　　　　　　　　　　　　　　　  </t>
  </si>
  <si>
    <t>母親節看探母暨支持能源開發環境</t>
  </si>
  <si>
    <t xml:space="preserve">花蓮縣民意長青會                                                        </t>
  </si>
  <si>
    <t xml:space="preserve">花蓮市中原路３６８巷２號　　　　　　　　　　　　　　　　　　  </t>
  </si>
  <si>
    <t>尾張仔端午粽飄香,關懷感恩</t>
  </si>
  <si>
    <t xml:space="preserve">台中市尾張仔文化發展協會                                                </t>
  </si>
  <si>
    <t xml:space="preserve">台中市北區建成里東光八街２８號　　　　　　　　　　　　　　　  </t>
  </si>
  <si>
    <t>108年度清理社區環境消滅登革熱</t>
  </si>
  <si>
    <t xml:space="preserve">高雄市鳳山經武社區營造協會王春枝                                        </t>
  </si>
  <si>
    <t xml:space="preserve">高雄市鳳山區武松里建國路一段５０２號　　　　　　　　　　　　  </t>
  </si>
  <si>
    <t>A00108073370020</t>
  </si>
  <si>
    <t>歌唱音樂理論暨節能減碳宣導活動</t>
  </si>
  <si>
    <t xml:space="preserve">屏東縣音悅文化協會                                                      </t>
  </si>
  <si>
    <t xml:space="preserve">屏東縣新園鄉仙吉村興安路２巷７２號　　　　　　　　　　　　　  </t>
  </si>
  <si>
    <t>空氣汙染防治活動</t>
  </si>
  <si>
    <t xml:space="preserve">臺中市外埔區大同社區發展協會                                            </t>
  </si>
  <si>
    <t xml:space="preserve">臺中市外埔區大同里甲后路三段８８７號　　　　　　　　　　　　  </t>
  </si>
  <si>
    <t>108年節約能源宣導活動</t>
  </si>
  <si>
    <t xml:space="preserve">桃園市中華外內丹功運動協會                                              </t>
  </si>
  <si>
    <t xml:space="preserve">桃園市桃園區中山東路２９號１２樓　　　　　　　　　　　　　　  </t>
  </si>
  <si>
    <t>繫上紫絲帶、幸福又安泰活動</t>
  </si>
  <si>
    <t xml:space="preserve">台北市萬華區婦女志工會                                                  </t>
  </si>
  <si>
    <t xml:space="preserve">台北市萬華區貴陽街2段14號                                     </t>
  </si>
  <si>
    <t>A00108073370024</t>
  </si>
  <si>
    <t>防搶防詐騙暨宣導正確用油</t>
  </si>
  <si>
    <t xml:space="preserve">臺南市南瀛歌藝研習協會                                                  </t>
  </si>
  <si>
    <t xml:space="preserve">台南市將軍區長榮里２１５－１２號　　　　　　　　　　　　　　  </t>
  </si>
  <si>
    <t>節能減碳暨健康防身</t>
  </si>
  <si>
    <t xml:space="preserve">屏東縣全接觸空手道協會                                                  </t>
  </si>
  <si>
    <t xml:space="preserve">屏東市公園路１４５號３樓　　　　　　　　　　　　　　　　　　  </t>
  </si>
  <si>
    <t>節能減碳宣導暨健康講座</t>
  </si>
  <si>
    <t xml:space="preserve">社團法人南投縣草屯鎮僑光老人會                                          </t>
  </si>
  <si>
    <t xml:space="preserve">南投縣草屯鎮登輝路１６３號　　　　　　　　　　　　　　　　　  </t>
  </si>
  <si>
    <t>A00108073370025</t>
  </si>
  <si>
    <t xml:space="preserve">屏東縣竹田鄉長青服務協會                                                </t>
  </si>
  <si>
    <t xml:space="preserve">屏東縣竹田鄉竹南村新興路１１－２號　　　　　　　　　　　　　  </t>
  </si>
  <si>
    <t>關懷弱勢暨節能減碳宣導活動</t>
  </si>
  <si>
    <t xml:space="preserve">社團法人屏東縣屏東市長春關懷協會                                        </t>
  </si>
  <si>
    <t xml:space="preserve">屏東縣屏東市瑞光里香揚巷３９７弄７號　　　　　　　　　　　　  </t>
  </si>
  <si>
    <t>興北心連心 感恩母親情活動</t>
  </si>
  <si>
    <t xml:space="preserve">彰化縣彰化市興北社區發展協會                                            </t>
  </si>
  <si>
    <t xml:space="preserve">彰化縣彰化市興北里民生路４５３號　　　　　　　　　　　　　　  </t>
  </si>
  <si>
    <t>母親節健行活動</t>
  </si>
  <si>
    <t xml:space="preserve">高雄市苓雅區五權社區發展協會                                            </t>
  </si>
  <si>
    <t xml:space="preserve">高雄市建國一路１段２０３巷２弄９號１樓　　　　　　　　　　　  </t>
  </si>
  <si>
    <t>A00108073370028</t>
  </si>
  <si>
    <t>108年度青少年國武術菁英研習營</t>
  </si>
  <si>
    <t xml:space="preserve">屏東縣體育會各單項委員會專戶                                            </t>
  </si>
  <si>
    <t xml:space="preserve">屏東縣屏東市勝利路９號　　　　　　　　　　　　　　　　　　　  </t>
  </si>
  <si>
    <t>慶祝母親節暨節能減碳宣導活動</t>
  </si>
  <si>
    <t xml:space="preserve">屏東縣崁頂鄉港東婦女新知協會                                            </t>
  </si>
  <si>
    <t xml:space="preserve">屏東縣崁頂鄉港東村平和南路６１號　　　　　　　　　　　　　　  </t>
  </si>
  <si>
    <t>健康操暨節能減碳宣導活動</t>
  </si>
  <si>
    <t xml:space="preserve">屏東縣崁頂鄉港東社區再生促進協會                                        </t>
  </si>
  <si>
    <t xml:space="preserve">屏東縣崁頂鄉港東村新厝路１２５號　　　　　　　　　　　　　　  </t>
  </si>
  <si>
    <t>屏東縣佳冬鄉關懷弱勢健康講座</t>
  </si>
  <si>
    <t xml:space="preserve">屏東縣佳冬鄉四塊厝社區促進會                                            </t>
  </si>
  <si>
    <t xml:space="preserve">屏東縣佳冬鄉羌園村２－６號　　　　　　　　　　　　　　　　　  </t>
  </si>
  <si>
    <t>A00108073370031</t>
  </si>
  <si>
    <t>花藝研習暨節能減碳宣導活動</t>
  </si>
  <si>
    <t xml:space="preserve">屏東縣東港鎮志工服務協會                                                </t>
  </si>
  <si>
    <t xml:space="preserve">屏東縣東港鎮興東里明德二街４３號　　　　　　　　　　　　　　  </t>
  </si>
  <si>
    <t>宣導節能減碳環保愛地球活動</t>
  </si>
  <si>
    <t xml:space="preserve">臺南市夏蓮舞動身心健康促進協會                                          </t>
  </si>
  <si>
    <t xml:space="preserve">台南市白河區白河里富民路１７８號　　　　　　　　　　　　　　  </t>
  </si>
  <si>
    <t>正確用油節約能源宣導活動</t>
  </si>
  <si>
    <t xml:space="preserve">臺南市柳營人生社會服務協會                                              </t>
  </si>
  <si>
    <t xml:space="preserve">台南市柳營區中山西路2段91號                                   </t>
  </si>
  <si>
    <t>108年理事長盃槌球邀請賽活動</t>
  </si>
  <si>
    <t xml:space="preserve">南投縣竹山鎮前山文康協會                                                </t>
  </si>
  <si>
    <t xml:space="preserve">南投縣竹山鎮大和街４１９號　　　　　　　　　　　　　　　　　  </t>
  </si>
  <si>
    <t>A00108073370032</t>
  </si>
  <si>
    <t>玩據藝起來親子的奇幻之旅</t>
  </si>
  <si>
    <t xml:space="preserve">新北市土城區婦女親子協會吳美秀                                          </t>
  </si>
  <si>
    <t xml:space="preserve">新北市土城區金城路３段１７２號２樓　　　　　　　　　　　　　  </t>
  </si>
  <si>
    <t>A00108073370034</t>
  </si>
  <si>
    <t xml:space="preserve">宜蘭縣宜蘭市民生社區發展協會                                            </t>
  </si>
  <si>
    <t xml:space="preserve">宜蘭市康樂路１３７巷７號　　　　　　　　　　　　　　　　　　  </t>
  </si>
  <si>
    <t>表揚優良母親暨節能減碳宣導活動</t>
  </si>
  <si>
    <t xml:space="preserve">屏東縣潮州鎮南光老人會                                                  </t>
  </si>
  <si>
    <t xml:space="preserve">屏東縣潮州鎮永春里興隆路７０號　　　　　　　　　　　　　　　  </t>
  </si>
  <si>
    <t>老人福利宣導活動</t>
  </si>
  <si>
    <t xml:space="preserve">桃園市桃園區同德社區發展協會                                            </t>
  </si>
  <si>
    <t xml:space="preserve">桃園市桃園區同永安北路５００號　　　　　　　　　　　　　　　  </t>
  </si>
  <si>
    <t>家庭瓦斯使用安全暨母親節活動</t>
  </si>
  <si>
    <t xml:space="preserve">臺南市蓮華文教協會                                                      </t>
  </si>
  <si>
    <t xml:space="preserve">台南市新營區中華路８１－２號　　　　　　　　　　　　　　　　  </t>
  </si>
  <si>
    <t>A00108073370035</t>
  </si>
  <si>
    <t>美化環境保護大自然</t>
  </si>
  <si>
    <t xml:space="preserve">宜蘭縣社區發展聯盟陳歐珀                                                </t>
  </si>
  <si>
    <t xml:space="preserve">宜蘭縣羅東鎮興東南路152號                                     </t>
  </si>
  <si>
    <t>關懷弱勢老人暨節能減碳</t>
  </si>
  <si>
    <t xml:space="preserve">屏東縣新園鄉第七老人會                                                  </t>
  </si>
  <si>
    <t xml:space="preserve">屏東縣新園鄉烏龍村龍頭路４６之２號　　　　　　　　　　　　　  </t>
  </si>
  <si>
    <t>溫馨五月情母親節關懷活動</t>
  </si>
  <si>
    <t xml:space="preserve">宜蘭縣宜蘭市新興社區發展協會                                            </t>
  </si>
  <si>
    <t xml:space="preserve">宜蘭縣宜蘭市東港路５５巷２弄５２號　　　　　　　　　　　　　  </t>
  </si>
  <si>
    <t>關懷弱勢講座</t>
  </si>
  <si>
    <t xml:space="preserve">屏東縣屏東市朝陽關懷協會                                                </t>
  </si>
  <si>
    <t xml:space="preserve">屏東市武愛街１６巷５８號　　　　　　　　　　　　　　　　　　  </t>
  </si>
  <si>
    <t>A00108073370036</t>
  </si>
  <si>
    <t>108年母親節系列活動</t>
  </si>
  <si>
    <t xml:space="preserve">國軍退除役官兵輔導委員會佳里榮譽國民之家                                </t>
  </si>
  <si>
    <t xml:space="preserve">台南市七股區三股里１４７號　　　　　　　　　　　　　　　　　  </t>
  </si>
  <si>
    <t>A00108073370039</t>
  </si>
  <si>
    <t>全國聲暉爸媽表揚</t>
  </si>
  <si>
    <t xml:space="preserve">中華民國聲暉聯合會                                                      </t>
  </si>
  <si>
    <t xml:space="preserve">台中市潭子區頭張路一段９０號　　　　　　　　　　　　　　　　  </t>
  </si>
  <si>
    <t>全國手機攝影比賽</t>
  </si>
  <si>
    <t xml:space="preserve">彰化縣大自然風景手機攝影交流協會                                        </t>
  </si>
  <si>
    <t xml:space="preserve">彰化縣和美鎮犁盛里東谷路４５號　　　　　　　　　　　　　　　  </t>
  </si>
  <si>
    <t xml:space="preserve">屏東縣恆春鎮二郎神慈善功德會                                            </t>
  </si>
  <si>
    <t xml:space="preserve">屏東縣恆春鎮北門路９號　　　　　　　　　　　　　　　　　　　  </t>
  </si>
  <si>
    <t>A00108073370042</t>
  </si>
  <si>
    <t>戀戀聖母情懷念歌曲錦標賽暨石油</t>
  </si>
  <si>
    <t xml:space="preserve">臺南市慈聖文化志工服務協會                                              </t>
  </si>
  <si>
    <t xml:space="preserve">臺南市佳里區建南里佳南路３６６號　　　　　　　　　　　　　　  </t>
  </si>
  <si>
    <t>2019高雄市全鎰營造盃全國老馬</t>
  </si>
  <si>
    <t xml:space="preserve">高雄市鳳山籃球協會                                                      </t>
  </si>
  <si>
    <t xml:space="preserve">高雄市三民區建興路２８５號　　　　　　　　　　　　　　　　　  </t>
  </si>
  <si>
    <t>108年度社區營造講座暨節能減碳</t>
  </si>
  <si>
    <t xml:space="preserve">屏東縣琉球鄉李厝文化協會                                                </t>
  </si>
  <si>
    <t xml:space="preserve">屏東縣琉球鄉觀光港路２９號　　　　　　　　　　　　　　　　　  </t>
  </si>
  <si>
    <t xml:space="preserve">屏東縣琉球鄉棒壘球協會                                                  </t>
  </si>
  <si>
    <t xml:space="preserve">屏東縣琉球鄉中福村觀光港路２９號　　　　　　　　　　　　　　  </t>
  </si>
  <si>
    <t>A00108073370043</t>
  </si>
  <si>
    <t>關懷老人健康講座活動</t>
  </si>
  <si>
    <t xml:space="preserve">屏東縣東港鎮第三老人會                                                  </t>
  </si>
  <si>
    <t xml:space="preserve">屏東縣東港鎮共興一街１－１號　　　　　　　　　　　　　　　　  </t>
  </si>
  <si>
    <t>溫馨母親節感恩活動</t>
  </si>
  <si>
    <t xml:space="preserve">台南市學甲區美豐社區發展協會                                            </t>
  </si>
  <si>
    <t xml:space="preserve">台南市學甲區豐和里10鄰美豐82-5號                              </t>
  </si>
  <si>
    <t>慶祝母親節暨節約用電宣導活動</t>
  </si>
  <si>
    <t xml:space="preserve">彰化縣彰化市西勢社區發展協會                                            </t>
  </si>
  <si>
    <t xml:space="preserve">彰化市自立街３３巷１號　　　　　　　　　　　　　　　　　　　  </t>
  </si>
  <si>
    <t>五峰鄉推動原民文化傳統祭典歌謠</t>
  </si>
  <si>
    <t xml:space="preserve">新竹縣原住民就業暨文化推展協會                                          </t>
  </si>
  <si>
    <t xml:space="preserve">新竹縣竹東鎮公園路２１４巷２號　　　　　　　　　　　　　　　  </t>
  </si>
  <si>
    <t>A00108073370045</t>
  </si>
  <si>
    <t>關懷老人健康與藥物常識講座及節</t>
  </si>
  <si>
    <t xml:space="preserve">臺中市石岡區金星社區發展協會                                            </t>
  </si>
  <si>
    <t xml:space="preserve">臺中市石岡區金星里下坑巷１５３號　　　　　　　　　　　　　　  </t>
  </si>
  <si>
    <t>108年宣導節約能源支持永續發展</t>
  </si>
  <si>
    <t xml:space="preserve">臺南市佳里區忠仁社區發展協會                                            </t>
  </si>
  <si>
    <t xml:space="preserve">台南市佳里區博愛街１１２號　　　　　　　　　　　　　　　　　  </t>
  </si>
  <si>
    <t>社區同樂會暨節能減碳愛地球宣導</t>
  </si>
  <si>
    <t xml:space="preserve">屏東縣萬巒鄉萬和社區發展協會                                            </t>
  </si>
  <si>
    <t xml:space="preserve">屏東縣萬巒鄉萬和村復興路１巷１號　　　　　　　　　　　　　　  </t>
  </si>
  <si>
    <t>身障者長照2.0知多少講座暨推</t>
  </si>
  <si>
    <t xml:space="preserve">社團法人高雄三山脊損重建協會                                            </t>
  </si>
  <si>
    <t xml:space="preserve">高雄市鳳山區經武路１９６巷１７弄４號　　　　　　　　　　　　  </t>
  </si>
  <si>
    <t>A00108073370046</t>
  </si>
  <si>
    <t>2019縣長盃爐石競技賽活動</t>
  </si>
  <si>
    <t xml:space="preserve">苗栗縣無人機應用服務創新發展協會                                        </t>
  </si>
  <si>
    <t xml:space="preserve">苗栗縣頭份市忠孝里長生街３０號　　　　　　　　　　　　　　　  </t>
  </si>
  <si>
    <t>關懷老人健康講習暨節能減碳宣導</t>
  </si>
  <si>
    <t xml:space="preserve">屏東縣佳冬鄉六根社區發展協會                                            </t>
  </si>
  <si>
    <t xml:space="preserve">屏東縣佳冬鄉六根村西邊路２－２號　　　　　　　　　　　　　　  </t>
  </si>
  <si>
    <t>關懷老人防跌講座暨節能減碳宣導</t>
  </si>
  <si>
    <t xml:space="preserve">屏東縣萬巒鄉土風舞協會                                                  </t>
  </si>
  <si>
    <t xml:space="preserve">屏東縣萬巒鄉五溝村西盛路２－１號　　　　　　　　　　　　　　  </t>
  </si>
  <si>
    <t>2019全國教育傳承盃客家開口獅民</t>
  </si>
  <si>
    <t xml:space="preserve">中華布家開口獅藝陣協會                                                  </t>
  </si>
  <si>
    <t xml:space="preserve">雲林縣斗南鎮西歧里大安路４３－１號　　　　　　　　　　　　　  </t>
  </si>
  <si>
    <t>A00108073370048</t>
  </si>
  <si>
    <t>歡慶母親節暨支持節能減碳宣活動</t>
  </si>
  <si>
    <t xml:space="preserve">台南市北區成德社區發展協會                                              </t>
  </si>
  <si>
    <t xml:space="preserve">台南市北區西門路４段７巷９９號　　　　　　　　　　　　　　　  </t>
  </si>
  <si>
    <t>健康講座用油用電安全宣導活動</t>
  </si>
  <si>
    <t xml:space="preserve">臺南市白河區仙草社區發展協會                                            </t>
  </si>
  <si>
    <t xml:space="preserve">台南市白河區仙草里羌仔崙１０號　　　　　　　　　　　　　　　  </t>
  </si>
  <si>
    <t>防火防災、節能減碳宣導活動</t>
  </si>
  <si>
    <t xml:space="preserve">屏東縣恆春鎮花木蘭居家安全關懷協會                                      </t>
  </si>
  <si>
    <t xml:space="preserve">屏東縣恆春鎮恆南路１１３號　　　　　　　　　　　　　　　　　  </t>
  </si>
  <si>
    <t>母親節趣味競賽暨節能減碳宣導活</t>
  </si>
  <si>
    <t xml:space="preserve">臺南市鹽水長青服務協會                                                  </t>
  </si>
  <si>
    <t xml:space="preserve">台南市鹽水區治水路２５４－１號　　　　　　　　　　　　　　　  </t>
  </si>
  <si>
    <t>A00108073370050</t>
  </si>
  <si>
    <t>優良社區研習既節約用油</t>
  </si>
  <si>
    <t xml:space="preserve">桃園市新屋區東明社區發展協會                                            </t>
  </si>
  <si>
    <t xml:space="preserve">桃園市新屋區東明里２鄰中興路３１８號　　　　　　　　　　　　  </t>
  </si>
  <si>
    <t>回饋社會公益表演活動</t>
  </si>
  <si>
    <t xml:space="preserve">台灣街頭藝人發展協會                                                    </t>
  </si>
  <si>
    <t xml:space="preserve">臺中市南屯區南屯路２段８７０巷６３號２樓之１　　　　　　　　  </t>
  </si>
  <si>
    <t>身心障礙者輪椅羽球錦標賽</t>
  </si>
  <si>
    <t xml:space="preserve">社團法人高雄市傷殘服務協會                                              </t>
  </si>
  <si>
    <t xml:space="preserve">高雄市新興區錦田路７８巷２號　　　　　　　　　　　　　　　　  </t>
  </si>
  <si>
    <t>老人社會福利宣導</t>
  </si>
  <si>
    <t xml:space="preserve">桃園市柔力球協會                                                        </t>
  </si>
  <si>
    <t xml:space="preserve">桃園市平鎮區和平路１７３號　　　　　　　　　　　　　　　　　  </t>
  </si>
  <si>
    <t>A00108073370051</t>
  </si>
  <si>
    <t>108年關懷長幼暨宣導節約能源</t>
  </si>
  <si>
    <t xml:space="preserve">臺南市學甲明宜長青協會謝慧儒                                            </t>
  </si>
  <si>
    <t xml:space="preserve">台南市學甲區濟生路２２１－４號　　　　　　　　　　　　　　　  </t>
  </si>
  <si>
    <t xml:space="preserve">屏東縣潮州鎮老人會                                                      </t>
  </si>
  <si>
    <t xml:space="preserve">屏東縣潮州鎮新榮里清水南路17之2號                             </t>
  </si>
  <si>
    <t>健康齊步走暨節能減碳宣導活動</t>
  </si>
  <si>
    <t xml:space="preserve">中華民國幸福城市營造發展協會                                            </t>
  </si>
  <si>
    <t xml:space="preserve">花蓮縣吉安鄉中央路三段６０６號２樓　　　　　　　　　　　　　  </t>
  </si>
  <si>
    <t>社區營造關懷協會銀髮族園藝</t>
  </si>
  <si>
    <t xml:space="preserve">屏東縣東港鎮社區營造關懷協會                                            </t>
  </si>
  <si>
    <t xml:space="preserve">屏東縣東港鎮鎮海里安漁路４３巷８號　　　　　　　　　　　　　  </t>
  </si>
  <si>
    <t>A00108073370052</t>
  </si>
  <si>
    <t>家用瓦斯油品使用安全</t>
  </si>
  <si>
    <t xml:space="preserve">臺南市新營區民生社區發展協會                                            </t>
  </si>
  <si>
    <t>就業安全及節能減碳宣導</t>
  </si>
  <si>
    <t xml:space="preserve">新北市淡水區藝術造村發展協會                                            </t>
  </si>
  <si>
    <t xml:space="preserve">新北市淡水區埤島里３５－１號　　　　　　　　　　　　　　　　  </t>
  </si>
  <si>
    <t>推動敦親睦鄰環保減碳</t>
  </si>
  <si>
    <t xml:space="preserve">嘉義縣阿里山人仁協會                                                    </t>
  </si>
  <si>
    <t xml:space="preserve">嘉義市中興路252號                                             </t>
  </si>
  <si>
    <t>A00108073370053</t>
  </si>
  <si>
    <t>2019九芎神農大帝文化祭暨愛護河</t>
  </si>
  <si>
    <t xml:space="preserve">社團法人雲林縣書香關懷協會                                              </t>
  </si>
  <si>
    <t xml:space="preserve">雲林縣林內鄉林中村中西路２３號　　　　　　　　　　　　　　　  </t>
  </si>
  <si>
    <t>108年度節約能源宣導活動</t>
  </si>
  <si>
    <t xml:space="preserve">臺南市善化區田寮社區發展協會                                            </t>
  </si>
  <si>
    <t xml:space="preserve">台南市善化區田寮里167-1號                                     </t>
  </si>
  <si>
    <t>108年度慶祝母親節暨節能減碳用</t>
  </si>
  <si>
    <t xml:space="preserve">彰化縣麗星歌藝發展協會黃國平                                            </t>
  </si>
  <si>
    <t xml:space="preserve">彰化縣社頭鄉中山路一段１７２號２Ｆ　　　　　　　　　　　　　  </t>
  </si>
  <si>
    <t>玄天上帝溯源晉香火盡薪傳暨節能</t>
  </si>
  <si>
    <t xml:space="preserve">苗栗縣薪傳文化推廣協會林秋娟                                            </t>
  </si>
  <si>
    <t xml:space="preserve">苗栗縣後龍鎮海寶里1鄰渡船頭6-7號                              </t>
  </si>
  <si>
    <t>A00108073370054</t>
  </si>
  <si>
    <t>108年度老人健康講座暨正確用油</t>
  </si>
  <si>
    <t xml:space="preserve">臺南市後壁區福安社區發展協會                                            </t>
  </si>
  <si>
    <t xml:space="preserve">台南市後壁區福安里１７５－１０號　　　　　　　　　　　　　　  </t>
  </si>
  <si>
    <t>荖藤林中興國小自行車暨節能減碳</t>
  </si>
  <si>
    <t xml:space="preserve">屏東縣萬巒鄉體育會                                                      </t>
  </si>
  <si>
    <t xml:space="preserve">屏東縣萬巒鄉萬和村復興路２號　　　　　　　　　　　　　　　　  </t>
  </si>
  <si>
    <t>健康山城健行暨健康醫療關懷講座</t>
  </si>
  <si>
    <t xml:space="preserve">苗栗縣榕樹伯公文化推展協會                                              </t>
  </si>
  <si>
    <t xml:space="preserve">苗栗市恭敬里中正路１２１２號　　　　　　　　　　　　　　　　  </t>
  </si>
  <si>
    <t>A00108073370055</t>
  </si>
  <si>
    <t>防家庭暴力關懷弱勢家庭</t>
  </si>
  <si>
    <t xml:space="preserve">桃園市矮崗仔福德宮協進會                                                </t>
  </si>
  <si>
    <t xml:space="preserve">桃園市平鎮區鎮興里中興路平鎮段95巷195號                       </t>
  </si>
  <si>
    <t>宣導節約用油</t>
  </si>
  <si>
    <t xml:space="preserve">南投縣竹生活文化促進協會鄭志宏                                          </t>
  </si>
  <si>
    <t xml:space="preserve">南投縣竹山鎮竹山路８０號　　　　　　　　　　　　　　　　　　  </t>
  </si>
  <si>
    <t>衛教知識暨節能減碳宣導</t>
  </si>
  <si>
    <t xml:space="preserve">台南市新營區舊（府－付＋部）社區發展協會                                </t>
  </si>
  <si>
    <t xml:space="preserve">台南市新營區舊（府－付＋部）里１號　　　　　　　　　　　　　  </t>
  </si>
  <si>
    <t>A00108073370056</t>
  </si>
  <si>
    <t>婦女社區健康活動比賽</t>
  </si>
  <si>
    <t xml:space="preserve">高雄市音律活化健康協會                                                  </t>
  </si>
  <si>
    <t xml:space="preserve">高雄市小港區坪頂里9高坪23路710號                              </t>
  </si>
  <si>
    <t>才藝表演暨節能減碳宣導</t>
  </si>
  <si>
    <t xml:space="preserve">彰化縣花壇鄉老人會                                                      </t>
  </si>
  <si>
    <t xml:space="preserve">彰化縣花壇鄉永春村長青路２５號　　　　　　　　　　　　　　　  </t>
  </si>
  <si>
    <t>健康講座暨節能減碳宣導</t>
  </si>
  <si>
    <t xml:space="preserve">屏東縣東港鎮延森太極拳協會                                              </t>
  </si>
  <si>
    <t xml:space="preserve">屏東縣東港鎮船頭路４－１７號　　　　　　　　　　　　　　　　  </t>
  </si>
  <si>
    <t>A00108073370057</t>
  </si>
  <si>
    <t>正確用油、節約能源及支持中油油</t>
  </si>
  <si>
    <t xml:space="preserve">臺南市南瀛新移民女性關懷協會                                            </t>
  </si>
  <si>
    <t>小手牽大小手龍過脈植樹登山趣</t>
  </si>
  <si>
    <t xml:space="preserve">南投縣名間槌球協會                                                      </t>
  </si>
  <si>
    <t xml:space="preserve">南投縣名間鄉中山村頂部巷３３－１６號　　　　　　　　　　　　  </t>
  </si>
  <si>
    <t>關懷弱勢暨節能減碳活動</t>
  </si>
  <si>
    <t xml:space="preserve">中華民國飛鏢總會                                                        </t>
  </si>
  <si>
    <t xml:space="preserve">高雄市鳳山區光復路１７３巷１號　　　　　　　　　　　　　　　  </t>
  </si>
  <si>
    <t>環境綠美化教育研習活動</t>
  </si>
  <si>
    <t xml:space="preserve">新北市金山區美田社區發展協會                                            </t>
  </si>
  <si>
    <t xml:space="preserve">新北市金山區忠孝一路１０７號　　　　　　　　　　　　　　　　  </t>
  </si>
  <si>
    <t>A00108073370058</t>
  </si>
  <si>
    <t>社區產業包裝暨節能減碳宣導活動</t>
  </si>
  <si>
    <t xml:space="preserve">南投縣工商婦女企業管理協會                                              </t>
  </si>
  <si>
    <t xml:space="preserve">南投市復興路５１０巷２號　　　　　　　　　　　　　　　　　　  </t>
  </si>
  <si>
    <t>慶端午粽飄香華陽社區關懷弱勢活</t>
  </si>
  <si>
    <t xml:space="preserve">彰化縣彰化市華陽社區發展協會                                            </t>
  </si>
  <si>
    <t xml:space="preserve">彰化縣彰化市南郭路１段２７０巷２號　　　　　　　　　　　　　  </t>
  </si>
  <si>
    <t>關懷弱勢環保節能反毒反暴力宣導</t>
  </si>
  <si>
    <t xml:space="preserve">新北市環保生態育樂協會                                                  </t>
  </si>
  <si>
    <t xml:space="preserve">新北市板橋區中山路２段３７２巷２１之１號　　　　　　　　　　  </t>
  </si>
  <si>
    <t>108年慶端午關懷弱勢家庭暨宣導</t>
  </si>
  <si>
    <t xml:space="preserve">彰化縣花壇鄉白沙社區發展協會                                            </t>
  </si>
  <si>
    <t xml:space="preserve">彰化縣花壇鄉白沙村溪北街１９１號　　　　　　　　　　　　　　  </t>
  </si>
  <si>
    <t>A00108073370059</t>
  </si>
  <si>
    <t>燦爛蜀葵文化季活動</t>
  </si>
  <si>
    <t xml:space="preserve">彰化縣國學研究會                                                        </t>
  </si>
  <si>
    <t xml:space="preserve">彰化縣埔心鄉武英北路５７３號　　　　　　　　　　　　　　　　  </t>
  </si>
  <si>
    <t>節能減碳宣導暨健康講座活動</t>
  </si>
  <si>
    <t xml:space="preserve">南投縣中寮鄉仙樂社區發展協會                                            </t>
  </si>
  <si>
    <t xml:space="preserve">南投縣中寮鄉八仙村永樂路６３－２號　　　　　　　　　　　　　  </t>
  </si>
  <si>
    <t>母親節暨節能減碳宣導活動</t>
  </si>
  <si>
    <t xml:space="preserve">屏東縣林邊鄉第七老人會                                                  </t>
  </si>
  <si>
    <t xml:space="preserve">屏東縣林邊鄉田厝村成功路３巷１４號　　　　　　　　　　　　　  </t>
  </si>
  <si>
    <t>慶祝母親節暨支持節能減碳活動</t>
  </si>
  <si>
    <t xml:space="preserve">臺南市快樂社區營造協會                                                  </t>
  </si>
  <si>
    <t xml:space="preserve">臺南市北區實踐街７１巷７２號　　　　　　　　　　　　　　　　  </t>
  </si>
  <si>
    <t>A00108073370060</t>
  </si>
  <si>
    <t>溫馨母親節關懷暨支持節能減碳宣</t>
  </si>
  <si>
    <t xml:space="preserve">台南市府城同心協會                                                      </t>
  </si>
  <si>
    <t xml:space="preserve">台南市大興街４０巷４８號　　　　　　　　　　　　　　　　　　  </t>
  </si>
  <si>
    <t>感謝有您母親節音樂響宴暨節能減</t>
  </si>
  <si>
    <t xml:space="preserve">桃園市楊梅區永青協會                                                    </t>
  </si>
  <si>
    <t xml:space="preserve">桃園市楊梅區青山二街３２７巷４號　　　　　　　　　　　　　　  </t>
  </si>
  <si>
    <t>媽祖心平安祈福暨節能減碳宣導</t>
  </si>
  <si>
    <t xml:space="preserve">苗栗縣中港慈裕禮佛文教協會                                              </t>
  </si>
  <si>
    <t xml:space="preserve">苗栗縣竹南鎮中美里１鄰民生路７號　　　　　　　　　　　　　　  </t>
  </si>
  <si>
    <t>2019社區老人健康講座暨節能減碳</t>
  </si>
  <si>
    <t xml:space="preserve">屏東縣新園鄉田洋環境美化協會陳素真                                      </t>
  </si>
  <si>
    <t xml:space="preserve">屏東縣新園鄉田洋村仙隆路３３４號　　　　　　　　　　　　　　  </t>
  </si>
  <si>
    <t>A00108073370061</t>
  </si>
  <si>
    <t>108年度慶祝母親節暨節能減碳活</t>
  </si>
  <si>
    <t xml:space="preserve">臺南市永康區復華社區發展協會                                            </t>
  </si>
  <si>
    <t xml:space="preserve">台南市永康區復華七街４７號　　　　　　　　　　　　　　　　　  </t>
  </si>
  <si>
    <t>長者三日睦鄰文化趣暨節能減碳宣</t>
  </si>
  <si>
    <t xml:space="preserve">花蓮縣原住民新部落發展協會古雲珍                                        </t>
  </si>
  <si>
    <t xml:space="preserve">花蓮縣秀林鄉佳民村７５號　　　　　　　　　　　　　　　　　　  </t>
  </si>
  <si>
    <t>全民運動愛地球交流活動暨節能減</t>
  </si>
  <si>
    <t xml:space="preserve">高雄市武當趙堡太極拳協會                                                </t>
  </si>
  <si>
    <t xml:space="preserve">高雄市鳳山區建國路３段２６７巷７０弄６號　　　　　　　　　　  </t>
  </si>
  <si>
    <t>銀髮族健康講座暨節能減碳宣導</t>
  </si>
  <si>
    <t xml:space="preserve">屏東縣東港鎮大眾老人協進會                                              </t>
  </si>
  <si>
    <t xml:space="preserve">屏東縣東港鎮船頭里（路）２５－２５８號４樓　　　　　　　　　  </t>
  </si>
  <si>
    <t>A00108073370066</t>
  </si>
  <si>
    <t>關懷服務老人節能減碳淨山健行</t>
  </si>
  <si>
    <t xml:space="preserve">新竹市中油退休人員協進會                                                </t>
  </si>
  <si>
    <t xml:space="preserve">新竹市公園路１８６巷２弄２號　　　　　　　　　　　　　　　　  </t>
  </si>
  <si>
    <t>108年第十屆臺中市推行武術運動</t>
  </si>
  <si>
    <t xml:space="preserve">臺中市少林武術協會陳金聖                                                </t>
  </si>
  <si>
    <t xml:space="preserve">臺中市大甲區光明路277號                                       </t>
  </si>
  <si>
    <t>A00108073370069</t>
  </si>
  <si>
    <t>天后藝術節-公益文創時尚展演</t>
  </si>
  <si>
    <t xml:space="preserve">社團法人高雄市身心障礙者技能發展協會                                    </t>
  </si>
  <si>
    <t xml:space="preserve">高雄市三民區鼎強街１１８號　　　　　　　　　　　　　　　　　  </t>
  </si>
  <si>
    <t>慶祝母親節要活就要動及節約用油</t>
  </si>
  <si>
    <t xml:space="preserve">臺中市大甲區日南社區發展協會                                            </t>
  </si>
  <si>
    <t xml:space="preserve">台中市大甲區日南里５鄰幼二路３２巷３號　　　　　　　　　　　  </t>
  </si>
  <si>
    <t>108年度端午粽香愛心活動暨節能</t>
  </si>
  <si>
    <t xml:space="preserve">臺中市清水區中興社區發展協會                                            </t>
  </si>
  <si>
    <t xml:space="preserve">台中市清水區新興路２７４－１號　　　　　　　　　　　　　　　  </t>
  </si>
  <si>
    <t>粽葉飄香暨節約能源宣導活動</t>
  </si>
  <si>
    <t xml:space="preserve">南投縣草屯鎮碧洲社區發展協會                                            </t>
  </si>
  <si>
    <t xml:space="preserve">南投縣草屯鎮碧洲里立人路７６３巷５９號　　　　　　　　　　　  </t>
  </si>
  <si>
    <t>A00108073370071</t>
  </si>
  <si>
    <t>108年慶祝母親節名人才藝表演</t>
  </si>
  <si>
    <t xml:space="preserve">南投縣名人歌唱協會簡麗玉                                                </t>
  </si>
  <si>
    <t xml:space="preserve">南投縣草屯鎮成功路一段３４７號　　　　　　　　　　　　　　　  </t>
  </si>
  <si>
    <t>端午關懷、慶賀佳節愛心公益暨節</t>
  </si>
  <si>
    <t xml:space="preserve">桃園市中壢區五福社區發展協會侯力升                                      </t>
  </si>
  <si>
    <t xml:space="preserve">桃園市中壢區志明路２４號　　　　　　　　　　　　　　　　　　  </t>
  </si>
  <si>
    <t>108年粽葉飄香暨節約能源宣導活</t>
  </si>
  <si>
    <t xml:space="preserve">台南市仁德區後壁社區發展協會                                            </t>
  </si>
  <si>
    <t xml:space="preserve">台南市仁德區後壁里德南路６８號　　　　　　　　　　　　　　　  </t>
  </si>
  <si>
    <t>108年大埔社區竹葉香、肉粽情社</t>
  </si>
  <si>
    <t xml:space="preserve">雲林縣古坑鄉大埔社區發展協會                                            </t>
  </si>
  <si>
    <t xml:space="preserve">雲林縣古坑鄉朝陽村大埔路６６－３３號　　　　　　　　　　　　  </t>
  </si>
  <si>
    <t>A00108073370072</t>
  </si>
  <si>
    <t>五一勞動節模範勞工表揚大會活動</t>
  </si>
  <si>
    <t xml:space="preserve">高雄市總工會                                                            </t>
  </si>
  <si>
    <t xml:space="preserve">高雄市前鎮區鎮中路６號８樓　　　　　　　　　　　　　　　　　  </t>
  </si>
  <si>
    <t>環境保護節能減碳活動</t>
  </si>
  <si>
    <t xml:space="preserve">台南市歸仁區許厝社區發展協會                                            </t>
  </si>
  <si>
    <t xml:space="preserve">台南市歸仁區中山路１段４３７巷９號　　　　　　　　　　　　　  </t>
  </si>
  <si>
    <t>績優社區研習活動</t>
  </si>
  <si>
    <t xml:space="preserve">桃園市新屋區新生社區發展協會                                            </t>
  </si>
  <si>
    <t xml:space="preserve">桃園縣新屋鄉新生村一鄰中正路８８號　　　　　　　　　　　　　  </t>
  </si>
  <si>
    <t>慶祝母親節才藝競賽宣導活鄧</t>
  </si>
  <si>
    <t xml:space="preserve">高雄市岡山老人福利協進會                                                </t>
  </si>
  <si>
    <t xml:space="preserve">高雄市岡山區壽天路６６號　　　　　　　　　　　　　　　　　　  </t>
  </si>
  <si>
    <t>A00108073370075</t>
  </si>
  <si>
    <t>慶祝母親節暨節能減碳活動</t>
  </si>
  <si>
    <t xml:space="preserve">南投縣草屯鎮北投社區發展協會                                            </t>
  </si>
  <si>
    <t xml:space="preserve">南投縣草屯鎮北投路４２２－７號　　　　　　　　　　　　　　　  </t>
  </si>
  <si>
    <t>108年節能減碳觀念活動</t>
  </si>
  <si>
    <t xml:space="preserve">屏東縣潮州鎮易筋有氧氣功協會                                            </t>
  </si>
  <si>
    <t xml:space="preserve">屏東縣潮州鎮潮昇路１３號　　　　　　　　　　　　　　　　　　  </t>
  </si>
  <si>
    <t>華陀五禽之戲暨節能減碳活動</t>
  </si>
  <si>
    <t xml:space="preserve">桃園市興龍太極拳華佗五禽之戲協會                                        </t>
  </si>
  <si>
    <t xml:space="preserve">桃園市龍潭區健行路５５９巷６弄８號　　　　　　　　　　　　　  </t>
  </si>
  <si>
    <t>星光盃全國身心障礙者暨節能減碳</t>
  </si>
  <si>
    <t xml:space="preserve">社團法人台南市星光身心障礙勵進會                                        </t>
  </si>
  <si>
    <t xml:space="preserve">台南市永康區大灣五街１５０號　　　　　　　　　　　　　　　　  </t>
  </si>
  <si>
    <t>A00108073370078</t>
  </si>
  <si>
    <t>粽情粽意慶端午</t>
  </si>
  <si>
    <t xml:space="preserve">嘉義縣水上鄉寬士社區發展協會                                            </t>
  </si>
  <si>
    <t xml:space="preserve">嘉義縣水上鄉寬士村崎仔頭２９－２９號　　　　　　　　　　　　  </t>
  </si>
  <si>
    <t>粽葉飄香關懷弱勢家庭</t>
  </si>
  <si>
    <t xml:space="preserve">臺中市清水區鰲峰社區發展協會                                            </t>
  </si>
  <si>
    <t xml:space="preserve">台中市清水區鰲峰里大街路觀音巷４７號　　　　　　　　　　　　  </t>
  </si>
  <si>
    <t>粽薪傳愛關懷弱勢</t>
  </si>
  <si>
    <t xml:space="preserve">台南市麻豆區安東社區發展協會                                            </t>
  </si>
  <si>
    <t xml:space="preserve">台南市麻豆區安東里４鄰安業２７７－４號　　　　　　　　　　　  </t>
  </si>
  <si>
    <t>環境保育與節約能源研習</t>
  </si>
  <si>
    <t xml:space="preserve">基隆市全民志工協會蕭玉棠                                                </t>
  </si>
  <si>
    <t xml:space="preserve">基隆市基金一路２０８巷１３８弄２０－１號４樓　　　　　　　　  </t>
  </si>
  <si>
    <t>B00</t>
  </si>
  <si>
    <t>探採事業部　　　　　　　　　　　　　　　</t>
  </si>
  <si>
    <t>B00108033370066</t>
  </si>
  <si>
    <t>中港溪地區原住民傳統舞蹈展演</t>
  </si>
  <si>
    <t>800000H139779597</t>
  </si>
  <si>
    <t xml:space="preserve">苗栗縣健康舞蹈運動協會                                                  </t>
  </si>
  <si>
    <t xml:space="preserve">苗栗縣竹南鎮龍山里9鄰龍泉街24號2樓                            </t>
  </si>
  <si>
    <t>B00108043370056</t>
  </si>
  <si>
    <t>辦理愛護地球淨源節能體驗活動</t>
  </si>
  <si>
    <t>800000H149504703</t>
  </si>
  <si>
    <t xml:space="preserve">苗栗縣政府總存款戶                                                      </t>
  </si>
  <si>
    <t xml:space="preserve">360苗栗市府前路1號                                            </t>
  </si>
  <si>
    <t>B00108043370067</t>
  </si>
  <si>
    <t>寶光豬氣除舊佈新贈春聯暨節能</t>
  </si>
  <si>
    <t>800000H119312502</t>
  </si>
  <si>
    <t xml:space="preserve">苗栗縣竹南鎮中港社區發展協會                                            </t>
  </si>
  <si>
    <t xml:space="preserve">苗栗縣竹南鎮中港里１３鄰街仔頭１號　　　　　　　　　　　　　  </t>
  </si>
  <si>
    <t>B00108053370027</t>
  </si>
  <si>
    <t>長青健走宣導活動</t>
  </si>
  <si>
    <t>800000H197953101</t>
  </si>
  <si>
    <t xml:space="preserve">台南市官田區隆本社區發展協會                                            </t>
  </si>
  <si>
    <t xml:space="preserve">台南市官田區隆本里興隆街33號                                  </t>
  </si>
  <si>
    <t>B00108053370092</t>
  </si>
  <si>
    <t>108年交通及老幼婦女安全宣導活</t>
  </si>
  <si>
    <t>B00108063370021</t>
  </si>
  <si>
    <t>108年度藝術與陶藝之結合講座</t>
  </si>
  <si>
    <t>800000H121496273</t>
  </si>
  <si>
    <t xml:space="preserve">苗栗縣文化產業藝術協會                                                  </t>
  </si>
  <si>
    <t xml:space="preserve">苗栗縣公館鄉玉穀村117-5號                                     </t>
  </si>
  <si>
    <t>B00108063370030</t>
  </si>
  <si>
    <t>辦理溫馨五月慶祝活動</t>
  </si>
  <si>
    <t>800000H166845450</t>
  </si>
  <si>
    <t xml:space="preserve">苗栗縣通霄鎮楓樹社區發展協會                                            </t>
  </si>
  <si>
    <t xml:space="preserve">苗栗縣通霄鎮楓樹里9鄰114號                                    </t>
  </si>
  <si>
    <t>B00108063370031</t>
  </si>
  <si>
    <t>108年度親子包粽慶端陽活動</t>
  </si>
  <si>
    <t>800000H120410875</t>
  </si>
  <si>
    <t xml:space="preserve">苗栗縣公館鄉鶴岡社區發展協會                                            </t>
  </si>
  <si>
    <t xml:space="preserve">苗栗縣公館鄉鶴岡村鶴岡118之 1號                               </t>
  </si>
  <si>
    <t>B00108063370033</t>
  </si>
  <si>
    <t>F1</t>
  </si>
  <si>
    <t>編情織愛玩手作DIY活動</t>
  </si>
  <si>
    <t>800000F142480261</t>
  </si>
  <si>
    <t xml:space="preserve">台灣愛關懷公益協會                                                      </t>
  </si>
  <si>
    <t xml:space="preserve">臺北市中正區青島東路5號4樓之2                                 </t>
  </si>
  <si>
    <t>B00108063370034</t>
  </si>
  <si>
    <t>隨手玩音樂-陶笛彩繪體驗活動</t>
  </si>
  <si>
    <t>800000F145397076</t>
  </si>
  <si>
    <t xml:space="preserve">苗栗縣竹南義消協會                                                      </t>
  </si>
  <si>
    <t xml:space="preserve">苗栗縣竹南正南里25鄰延平路5號                                 </t>
  </si>
  <si>
    <t>B00108063370035</t>
  </si>
  <si>
    <t>留住大自然的原色拓染手作活動</t>
  </si>
  <si>
    <t>800000F345397076</t>
  </si>
  <si>
    <t>B00108063370037</t>
  </si>
  <si>
    <t>就愛醬拈花惹草DIY活動</t>
  </si>
  <si>
    <t>800000F326919928</t>
  </si>
  <si>
    <t xml:space="preserve">苗栗縣綠美化協會                                                        </t>
  </si>
  <si>
    <t xml:space="preserve">造橋鄉龍昇村8鄰潭內19-4號                                     </t>
  </si>
  <si>
    <t>B00108063370039</t>
  </si>
  <si>
    <t>假日之森親子踏浪淨灘趣活動</t>
  </si>
  <si>
    <t>800000H147269800</t>
  </si>
  <si>
    <t xml:space="preserve">苗栗縣水上運動觀光休閒發展協會                                          </t>
  </si>
  <si>
    <t xml:space="preserve">苗栗縣竹南鎮竹興里13鄰竹圍仔91號                              </t>
  </si>
  <si>
    <t>B00108063370041</t>
  </si>
  <si>
    <t>發現葉子的表情葉拓DIY活動</t>
  </si>
  <si>
    <t>800000F126919928</t>
  </si>
  <si>
    <t>B00108063370042</t>
  </si>
  <si>
    <t>滿馨感謝‧情牽母愛活動</t>
  </si>
  <si>
    <t>800000F319311779</t>
  </si>
  <si>
    <t xml:space="preserve">財團法人山城友愛人文基金會                                              </t>
  </si>
  <si>
    <t xml:space="preserve">苗栗縣竹南鎮延平路266號                                       </t>
  </si>
  <si>
    <t>B00108063370044</t>
  </si>
  <si>
    <t>108年客家藝境鄉情展公益活動</t>
  </si>
  <si>
    <t>800000H119304030</t>
  </si>
  <si>
    <t xml:space="preserve">苗栗縣西畫學會                                                          </t>
  </si>
  <si>
    <t xml:space="preserve">苗栗市勝利里７鄰福德一巷３號　　　　　　　　　　　　　　　　  </t>
  </si>
  <si>
    <t>B00108063370047</t>
  </si>
  <si>
    <t>健康養生講座暨環保節能宣導</t>
  </si>
  <si>
    <t>800000F309302723</t>
  </si>
  <si>
    <t xml:space="preserve">苗栗縣竹南造橋後龍維安協會                                              </t>
  </si>
  <si>
    <t xml:space="preserve">竹南鎮大營路93-3號                                            </t>
  </si>
  <si>
    <t>B00108063370048</t>
  </si>
  <si>
    <t>節能減碳宣導暨健康齊步走健行</t>
  </si>
  <si>
    <t>800000H176936628</t>
  </si>
  <si>
    <t xml:space="preserve">苗栗縣竹南鎮婦女會                                                      </t>
  </si>
  <si>
    <t xml:space="preserve">苗栗縣竹南鎮大厝里１９鄰環市路１段３５１號　　　　　　　　　  </t>
  </si>
  <si>
    <t>B00108063370052</t>
  </si>
  <si>
    <t>第十八屆理事長盃全縣槌球邀請賽</t>
  </si>
  <si>
    <t>800000H120371248</t>
  </si>
  <si>
    <t xml:space="preserve">苗栗縣三義鄉廣盛社區發展協會                                            </t>
  </si>
  <si>
    <t xml:space="preserve">苗栗縣三義鄉中正路89號                                        </t>
  </si>
  <si>
    <t>B00108063370053</t>
  </si>
  <si>
    <t>水上運動中港溪盃游泳錦標賽</t>
  </si>
  <si>
    <t>800000H118431184</t>
  </si>
  <si>
    <t xml:space="preserve">苗栗縣中港溪游泳協會                                                    </t>
  </si>
  <si>
    <t xml:space="preserve">苗栗縣頭份市建國里4鄰永安街276巷2號                           </t>
  </si>
  <si>
    <t>B00108063370054</t>
  </si>
  <si>
    <t>樂活養生及交通安全宣導</t>
  </si>
  <si>
    <t>800000H197958078</t>
  </si>
  <si>
    <t xml:space="preserve">臺南市官田區隆田社區發展協會                                            </t>
  </si>
  <si>
    <t xml:space="preserve">臺南市官田區隆田里文化街121號                                 </t>
  </si>
  <si>
    <t>B00108063370058</t>
  </si>
  <si>
    <t>五月桐花雪親近大自然健行暨淨山</t>
  </si>
  <si>
    <t>800000H145672214</t>
  </si>
  <si>
    <t xml:space="preserve">苗栗縣合興文化推展協會                                                  </t>
  </si>
  <si>
    <t xml:space="preserve">苗栗縣竹南鎮大埔里15鄰竹窩厝58-3號                            </t>
  </si>
  <si>
    <t>B00108063370059</t>
  </si>
  <si>
    <t>端午情客家心粽愛心里民關懷</t>
  </si>
  <si>
    <t>800000H174869645</t>
  </si>
  <si>
    <t xml:space="preserve">苗栗縣頭份市濫坑社區發展協會                                            </t>
  </si>
  <si>
    <t xml:space="preserve">苗栗縣頭份市濫坑里3鄰藤坪12之1號                              </t>
  </si>
  <si>
    <t>B00108063370060</t>
  </si>
  <si>
    <t>MX</t>
  </si>
  <si>
    <t>開礦村7鄰設置扶手欄杆工程</t>
  </si>
  <si>
    <t>800000MX49501403</t>
  </si>
  <si>
    <t xml:space="preserve">苗栗縣公館鄉公所                                                        </t>
  </si>
  <si>
    <t xml:space="preserve">苗栗縣公館鄉玉泉村１４鄰３６８－１０號　　　　　　　　　　　  </t>
  </si>
  <si>
    <t>B00108063370061</t>
  </si>
  <si>
    <t>端午粽葉飄香饗宴活動</t>
  </si>
  <si>
    <t>800000H198179227</t>
  </si>
  <si>
    <t xml:space="preserve">苗栗縣苗栗市勝利社區發展協會                                            </t>
  </si>
  <si>
    <t xml:space="preserve">苗栗縣苗栗市勝利里復興路一段453號                             </t>
  </si>
  <si>
    <t>B00108063370063</t>
  </si>
  <si>
    <t>槌球協會理事長盃全縣槌球邀請賽</t>
  </si>
  <si>
    <t>800000H199654380</t>
  </si>
  <si>
    <t xml:space="preserve">苗栗縣頭份槌球協會                                                      </t>
  </si>
  <si>
    <t xml:space="preserve">苗栗縣頭份市尖山里14鄰尖山141-30號                            </t>
  </si>
  <si>
    <t>B00108063370064</t>
  </si>
  <si>
    <t>活力山城樂居苗栗多元歌謠歌唱</t>
  </si>
  <si>
    <t>800000H121889278</t>
  </si>
  <si>
    <t xml:space="preserve">苗栗縣山城客家弦歌協會                                                  </t>
  </si>
  <si>
    <t xml:space="preserve">苗栗縣苗栗市維勝街６２巷２１弄１２號　　　　　　　　　　　　  </t>
  </si>
  <si>
    <t>B00108063370066</t>
  </si>
  <si>
    <t>快樂相隨賞桐健行(客家桐花祭)</t>
  </si>
  <si>
    <t>800000H174867956</t>
  </si>
  <si>
    <t xml:space="preserve">苗栗縣頭份市中山社區發展協會                                            </t>
  </si>
  <si>
    <t>B00108063370067</t>
  </si>
  <si>
    <t>108年度社區健康講座暨節能宣導</t>
  </si>
  <si>
    <t>800000H166843312</t>
  </si>
  <si>
    <t xml:space="preserve">苗栗縣通霄鎮城南社區發展協會                                            </t>
  </si>
  <si>
    <t xml:space="preserve">苗栗縣通霄鎮平元里11鄰平新路29號                              </t>
  </si>
  <si>
    <t>B00108063370068</t>
  </si>
  <si>
    <t>108年度第一期社交舞教學活動</t>
  </si>
  <si>
    <t>800000H113545716</t>
  </si>
  <si>
    <t xml:space="preserve">苗栗縣社交舞健康促進協會                                                </t>
  </si>
  <si>
    <t xml:space="preserve">苗栗縣通霄鎮通灣里中山路1號                                   </t>
  </si>
  <si>
    <t>B00108063370070</t>
  </si>
  <si>
    <t>端午節五月端陽客庄好粽香暨環保</t>
  </si>
  <si>
    <t>800000H119305328</t>
  </si>
  <si>
    <t xml:space="preserve">苗栗市大同社區發展協會楊桂尾                                            </t>
  </si>
  <si>
    <t xml:space="preserve">苗栗市中山路795號                                             </t>
  </si>
  <si>
    <t>B00108063370071</t>
  </si>
  <si>
    <t>環保愛台灣作伙來起酵暨節能減碳</t>
  </si>
  <si>
    <t>800000H181385758</t>
  </si>
  <si>
    <t xml:space="preserve">台灣愛酵環保協會                                                        </t>
  </si>
  <si>
    <t xml:space="preserve">臺南市白河區河東里糞箕湖182號                                 </t>
  </si>
  <si>
    <t>B00108063370072</t>
  </si>
  <si>
    <t>辦理國樂推廣活動</t>
  </si>
  <si>
    <t>800000H145646271</t>
  </si>
  <si>
    <t xml:space="preserve">苗栗縣傳統藝術文化發展協會                                              </t>
  </si>
  <si>
    <t xml:space="preserve">苗栗縣公館鄉玉泉村9鄰玉泉226之5號                             </t>
  </si>
  <si>
    <t>B00108063370073</t>
  </si>
  <si>
    <t>端午情意粽兒童客語演講比賽節能</t>
  </si>
  <si>
    <t>800000H195817572</t>
  </si>
  <si>
    <t xml:space="preserve">苗栗縣頭份市斗煥社區發展協會                                            </t>
  </si>
  <si>
    <t xml:space="preserve">苗栗縣頭份市斗煥里12鄰212號                                   </t>
  </si>
  <si>
    <t>B00108063370074</t>
  </si>
  <si>
    <t>粽葉飄香慶端午幸福家園活動</t>
  </si>
  <si>
    <t>800000H126821185</t>
  </si>
  <si>
    <t xml:space="preserve">苗栗縣田心快樂發展協會吳姿澐                                            </t>
  </si>
  <si>
    <t xml:space="preserve">苗栗市清華里為公路167號                                       </t>
  </si>
  <si>
    <t>B00108063370075</t>
  </si>
  <si>
    <t>辦理「節能環保愛地球歌舞宣導」</t>
  </si>
  <si>
    <t>800000H109173328</t>
  </si>
  <si>
    <t xml:space="preserve">苗栗縣大湖歌舞發展協會                                                  </t>
  </si>
  <si>
    <t xml:space="preserve">苗栗縣大湖鄉大湖村４鄰博愛街１５號　　　　　　　　　　　　　  </t>
  </si>
  <si>
    <t>B00108063370076</t>
  </si>
  <si>
    <t>上半年度道路及環境衛生整理</t>
  </si>
  <si>
    <t>800000H149507309</t>
  </si>
  <si>
    <t xml:space="preserve">苗栗縣通霄鎮公所                                                        </t>
  </si>
  <si>
    <t xml:space="preserve">苗栗縣通霄鎮通東里中正路8號                                   </t>
  </si>
  <si>
    <t>B00108063370077</t>
  </si>
  <si>
    <t>108年度太極氣功第二套教學活動</t>
  </si>
  <si>
    <t>800000H125346867</t>
  </si>
  <si>
    <t xml:space="preserve">苗栗縣太極氣功推展協會                                                  </t>
  </si>
  <si>
    <t xml:space="preserve">苗栗縣通霄鎮通東里信義路78號                                  </t>
  </si>
  <si>
    <t>B00108063370079</t>
  </si>
  <si>
    <t>辦理國樂推廣成果發表會活動</t>
  </si>
  <si>
    <t>B00108063370080</t>
  </si>
  <si>
    <t>端午節粽葉飄香暨扶助弱勢活動</t>
  </si>
  <si>
    <t>800000F345466848</t>
  </si>
  <si>
    <t xml:space="preserve">苗栗縣青苗健康社區協會                                                  </t>
  </si>
  <si>
    <t xml:space="preserve">苗栗市青苗里中山路636號                                       </t>
  </si>
  <si>
    <t>B00108063370081</t>
  </si>
  <si>
    <t>全國國小女生乙級壘球聯賽</t>
  </si>
  <si>
    <t>B00108063370084</t>
  </si>
  <si>
    <t>端午節包粽子競賽活動</t>
  </si>
  <si>
    <t>800000H145349238</t>
  </si>
  <si>
    <t xml:space="preserve">苗栗縣田寮營造發展協會                                                  </t>
  </si>
  <si>
    <t xml:space="preserve">苗栗市福星里16鄰華清街3號                                     </t>
  </si>
  <si>
    <t>B00108063370085</t>
  </si>
  <si>
    <t>端午節客家傳統技藝活動</t>
  </si>
  <si>
    <t>800000H145457284</t>
  </si>
  <si>
    <t xml:space="preserve">苗栗縣文聖志願服務協會                                                  </t>
  </si>
  <si>
    <t xml:space="preserve">苗栗市文發路8鄰255巷22號                                      </t>
  </si>
  <si>
    <t>B00108063370087</t>
  </si>
  <si>
    <t>108年端午佳節粽飄香活動</t>
  </si>
  <si>
    <t>800000H114294619</t>
  </si>
  <si>
    <t xml:space="preserve">苗栗縣苗栗市新苗社區發展協會                                            </t>
  </si>
  <si>
    <t xml:space="preserve">苗栗縣苗栗市新苗里新苗街77號                                  </t>
  </si>
  <si>
    <t>B00108063370088</t>
  </si>
  <si>
    <t>108年度端午飄粽香活動</t>
  </si>
  <si>
    <t>800000H195810389</t>
  </si>
  <si>
    <t xml:space="preserve">苗栗縣苗栗市福星社區發展協會                                            </t>
  </si>
  <si>
    <t xml:space="preserve">苗栗市中華路455號                                             </t>
  </si>
  <si>
    <t>B00108063370089</t>
  </si>
  <si>
    <t>社區老人日常生活起居安全教育</t>
  </si>
  <si>
    <t>800000F195811303</t>
  </si>
  <si>
    <t xml:space="preserve">苗栗縣公館鄉玉谷社區發展協會                                            </t>
  </si>
  <si>
    <t xml:space="preserve">苗栗縣公館鄉玉谷村10鄰83號                                    </t>
  </si>
  <si>
    <t>B00108063370091</t>
  </si>
  <si>
    <t>苑裡鎮公所</t>
  </si>
  <si>
    <t>108年度模範母親代表表揚活動</t>
  </si>
  <si>
    <t>800000H149503900</t>
  </si>
  <si>
    <t xml:space="preserve">苑裡鎮公所                                                              </t>
  </si>
  <si>
    <t xml:space="preserve">苗栗縣苑裡鎮信義路1號                                         </t>
  </si>
  <si>
    <t>B00108063370094</t>
  </si>
  <si>
    <t>義勇特搜協會全民CPR及AED訓</t>
  </si>
  <si>
    <t>800000H147569026</t>
  </si>
  <si>
    <t xml:space="preserve">苗栗縣義勇特種搜救協會                                                  </t>
  </si>
  <si>
    <t xml:space="preserve">苗栗縣通霄鎮通南里中山路120-1號                               </t>
  </si>
  <si>
    <t>B00108063370095</t>
  </si>
  <si>
    <t>仁安社區108年度健康促進講座</t>
  </si>
  <si>
    <t>800000H195837583</t>
  </si>
  <si>
    <t xml:space="preserve">苗栗縣公館鄉仁安社區發展協會                                            </t>
  </si>
  <si>
    <t xml:space="preserve">苗栗縣公館鄉仁安村9鄰118-20號                                 </t>
  </si>
  <si>
    <t>B00108063370097</t>
  </si>
  <si>
    <t>開礦村108年度充實內部設備</t>
  </si>
  <si>
    <t>B00108063370098</t>
  </si>
  <si>
    <t>108年端午粽飄香</t>
  </si>
  <si>
    <t>800000H195847061</t>
  </si>
  <si>
    <t xml:space="preserve">苗栗縣苗栗市玉清社區發展協會                                            </t>
  </si>
  <si>
    <t xml:space="preserve">苗栗縣苗栗市玉清里12鄰玉興街玫瑰8號                           </t>
  </si>
  <si>
    <t>B00108063370101</t>
  </si>
  <si>
    <t>勞基法修法暨全民節能拒毒宣導</t>
  </si>
  <si>
    <t>800000H147385126</t>
  </si>
  <si>
    <t xml:space="preserve">社團法人台灣國際美容美髮學術技術交流協會                                </t>
  </si>
  <si>
    <t xml:space="preserve">苗栗縣苑裡鎮天下路97號                                        </t>
  </si>
  <si>
    <t>B00108063370102</t>
  </si>
  <si>
    <t>108年度五穀社區歌謠班活動</t>
  </si>
  <si>
    <t>800000H195838160</t>
  </si>
  <si>
    <t xml:space="preserve">五穀社區發展協會                                                        </t>
  </si>
  <si>
    <t xml:space="preserve">苗栗縣公館鄉五穀村8鄰223號                                    </t>
  </si>
  <si>
    <t>B00108063370105</t>
  </si>
  <si>
    <t>2019節能減碳用電安全暨酒駕防治</t>
  </si>
  <si>
    <t>800000H145441306</t>
  </si>
  <si>
    <t xml:space="preserve">苗栗縣公館鄉公館守望相助協會                                            </t>
  </si>
  <si>
    <t xml:space="preserve">苗栗縣公館鄉館東村5鄰大同路166號                              </t>
  </si>
  <si>
    <t>B00108063370106</t>
  </si>
  <si>
    <t>108年度五月飄香粽暨認識小黑蚊</t>
  </si>
  <si>
    <t>800000H166846556</t>
  </si>
  <si>
    <t xml:space="preserve">苗栗縣通霄鎮五南社區發展協會                                            </t>
  </si>
  <si>
    <t xml:space="preserve">苗栗縣通霄鎮五南里8鄰334巷42號                                </t>
  </si>
  <si>
    <t>B00108063370107</t>
  </si>
  <si>
    <t>公益環保健行</t>
  </si>
  <si>
    <t>800000H121840732</t>
  </si>
  <si>
    <t xml:space="preserve">苗栗縣油桐花文化推廣協會                                                </t>
  </si>
  <si>
    <t xml:space="preserve">苗栗市高苗里28鄰松園378號                                     </t>
  </si>
  <si>
    <t>B00108063370111</t>
  </si>
  <si>
    <t>快樂慶端午</t>
  </si>
  <si>
    <t>800000H147363312</t>
  </si>
  <si>
    <t xml:space="preserve">苗栗縣恭敬活力健康推展協會                                              </t>
  </si>
  <si>
    <t xml:space="preserve">苗栗市恭敬里7鄰恭敬路73號                                     </t>
  </si>
  <si>
    <t>B00108063370114</t>
  </si>
  <si>
    <t>聽障家庭端節粽香創作體驗營活動</t>
  </si>
  <si>
    <t>800000F325316961</t>
  </si>
  <si>
    <t xml:space="preserve">社團法人苗栗縣聽障協會                                                  </t>
  </si>
  <si>
    <t xml:space="preserve">苗栗市文發路435巷6弄12號                                      </t>
  </si>
  <si>
    <t>B00108063370115</t>
  </si>
  <si>
    <t>108年度慶祝端午節系列活動</t>
  </si>
  <si>
    <t>800000H147268318</t>
  </si>
  <si>
    <t xml:space="preserve">苗栗縣新福安社區促進發展協會徐玄漳                                      </t>
  </si>
  <si>
    <t xml:space="preserve">苗栗市福安里24鄰中華路616號                                   </t>
  </si>
  <si>
    <t>B00108063370116</t>
  </si>
  <si>
    <t>108年粽葉飄香薪傳活動</t>
  </si>
  <si>
    <t>800000H119282182</t>
  </si>
  <si>
    <t xml:space="preserve">苗栗市青苗社區發展協會                                                  </t>
  </si>
  <si>
    <t xml:space="preserve">苗栗市青苗里至公路56巷5號                                     </t>
  </si>
  <si>
    <t>B00108063370117</t>
  </si>
  <si>
    <t>端午節活動</t>
  </si>
  <si>
    <t>800000H110926233</t>
  </si>
  <si>
    <t xml:space="preserve">苗栗縣新都生活文化協會                                                  </t>
  </si>
  <si>
    <t xml:space="preserve">苗栗市維新里２２鄰新庄街１０２巷９號                          </t>
  </si>
  <si>
    <t>B00108063370120</t>
  </si>
  <si>
    <t>108年度敬老健康粽管暨節電節能</t>
  </si>
  <si>
    <t>800000F172460404</t>
  </si>
  <si>
    <t xml:space="preserve">苗栗縣苑裡鎮社苓長照敬老協會                                            </t>
  </si>
  <si>
    <t xml:space="preserve">苗栗縣苑裡鎮社苓里12鄰135-40號                                </t>
  </si>
  <si>
    <t>B00108063370123</t>
  </si>
  <si>
    <t>108年度粽葉飄香慶端午活動</t>
  </si>
  <si>
    <t>800000H120401658</t>
  </si>
  <si>
    <t xml:space="preserve">苗栗縣公館鄉館中社區發展協會                                            </t>
  </si>
  <si>
    <t xml:space="preserve">苗栗縣公館鄉館中村15鄰宮前路101號                             </t>
  </si>
  <si>
    <t>B00108063370125</t>
  </si>
  <si>
    <t>D1</t>
  </si>
  <si>
    <t>辦理通霄鎮民林淑華急難救助</t>
  </si>
  <si>
    <t>800000D1</t>
  </si>
  <si>
    <t>L2229767</t>
  </si>
  <si>
    <t xml:space="preserve">林淑華                                                                  </t>
  </si>
  <si>
    <t xml:space="preserve">苗栗縣通霄鎮五北里15鄰131號                                   </t>
  </si>
  <si>
    <t>B00108073370006</t>
  </si>
  <si>
    <t>行剪山城  愛及長幼</t>
  </si>
  <si>
    <t>800000F345674178</t>
  </si>
  <si>
    <t xml:space="preserve">苗栗縣理剪燙髮推廣協會                                                  </t>
  </si>
  <si>
    <t xml:space="preserve">苗栗市文聖里１４鄰文發路４３５巷４弄５號　　　　　　　　　　  </t>
  </si>
  <si>
    <t>B00108073370008</t>
  </si>
  <si>
    <t>108年民眾反毒暨節能減碳活動</t>
  </si>
  <si>
    <t>800000H125442518</t>
  </si>
  <si>
    <t xml:space="preserve">苗栗縣魯班會                                                            </t>
  </si>
  <si>
    <t xml:space="preserve">苗栗縣竹南鎮崎頂里13鄰騎腳4之10號                             </t>
  </si>
  <si>
    <t>B00108073370010</t>
  </si>
  <si>
    <t>關懷銀髮~健康樂活暨節能減碳</t>
  </si>
  <si>
    <t>800000H182527489</t>
  </si>
  <si>
    <t xml:space="preserve">苗栗縣福德社會關懷協會                                                  </t>
  </si>
  <si>
    <t xml:space="preserve">苗栗縣竹南鎮和仁街４１巷２０號　　　　　　　　　　　　　　　  </t>
  </si>
  <si>
    <t>B00108073370011</t>
  </si>
  <si>
    <t>客家老古言語漢文、賢文傳承</t>
  </si>
  <si>
    <t>800000H138886731</t>
  </si>
  <si>
    <t xml:space="preserve">苗栗縣客家話傳承文化協會                                                </t>
  </si>
  <si>
    <t xml:space="preserve">苗栗市福星里中華東街100巷35號                                 </t>
  </si>
  <si>
    <t>B00108073370012</t>
  </si>
  <si>
    <t>客家布馬陣技藝傳承</t>
  </si>
  <si>
    <t>B00108073370013</t>
  </si>
  <si>
    <t>客家歌謠及民俗舞蹈</t>
  </si>
  <si>
    <t>800000H125254971</t>
  </si>
  <si>
    <t xml:space="preserve">苗栗縣星安客家文化協會                                                  </t>
  </si>
  <si>
    <t>B00108073370014</t>
  </si>
  <si>
    <t>幸福苗栗－灣麗神農文化季活動</t>
  </si>
  <si>
    <t>B00108073370016</t>
  </si>
  <si>
    <t>健康操活動</t>
  </si>
  <si>
    <t>800000H145207815</t>
  </si>
  <si>
    <t xml:space="preserve">苗栗縣和和運動舞蹈協會                                                  </t>
  </si>
  <si>
    <t>B00108073370018</t>
  </si>
  <si>
    <t>民俗技藝玉華情</t>
  </si>
  <si>
    <t>800000H125401214</t>
  </si>
  <si>
    <t xml:space="preserve">苗栗縣美康家園推展協會                                                  </t>
  </si>
  <si>
    <t xml:space="preserve">苗栗市玉華里勵志街33巷4號                                     </t>
  </si>
  <si>
    <t>B00108073370020</t>
  </si>
  <si>
    <t>食在健康-快樂烘焙趣活動</t>
  </si>
  <si>
    <t>800000F342480261</t>
  </si>
  <si>
    <t>B00108073370021</t>
  </si>
  <si>
    <t>開心牧場撲滿彩繪趣活動</t>
  </si>
  <si>
    <t>B00108073370024</t>
  </si>
  <si>
    <t>敦親睦鄰好厝邊耆老共餐活動</t>
  </si>
  <si>
    <t>800000F114932258</t>
  </si>
  <si>
    <t xml:space="preserve">苗栗縣石油事業退休人員協會                                              </t>
  </si>
  <si>
    <t xml:space="preserve">苗栗市北苗里為公路51之5號2樓                                  </t>
  </si>
  <si>
    <t>B00108073370025</t>
  </si>
  <si>
    <t>108年度端午節民俗文化與節碳</t>
  </si>
  <si>
    <t>800000H166843299</t>
  </si>
  <si>
    <t xml:space="preserve">苗栗縣通霄鎮福源社區發展協會                                            </t>
  </si>
  <si>
    <t xml:space="preserve">苗栗縣通霄鎮福源里10鄰99號                                    </t>
  </si>
  <si>
    <t>B00108073370027</t>
  </si>
  <si>
    <t>村鄰長及調解租佃委員訓練</t>
  </si>
  <si>
    <t>800000H149509307</t>
  </si>
  <si>
    <t xml:space="preserve">頭屋鄉公所                                                              </t>
  </si>
  <si>
    <t xml:space="preserve">苗栗縣頭屋鄉頭屋村中正街48號                                  </t>
  </si>
  <si>
    <t>B00108073370028</t>
  </si>
  <si>
    <t>頭屋鄉公所</t>
  </si>
  <si>
    <t>頭屋鄉108年度社區交流活動</t>
  </si>
  <si>
    <t>B00108073370032</t>
  </si>
  <si>
    <t>苗栗縣後龍鎮李再發急難救助</t>
  </si>
  <si>
    <t>K2007603</t>
  </si>
  <si>
    <t xml:space="preserve">李洪桂煌                                                                </t>
  </si>
  <si>
    <t xml:space="preserve">                                                              </t>
  </si>
  <si>
    <t>B00108073370033</t>
  </si>
  <si>
    <t>辦理苑裡鎮民周慶合急難救助</t>
  </si>
  <si>
    <t>K1223379</t>
  </si>
  <si>
    <t xml:space="preserve">周慶合                                                                  </t>
  </si>
  <si>
    <t xml:space="preserve">苗栗縣苑裡鎮中正里12鄰中正102之26號                           </t>
  </si>
  <si>
    <t>B00108073370034</t>
  </si>
  <si>
    <t>108年度慶祝母親節親子同歡</t>
  </si>
  <si>
    <t>800000H199685594</t>
  </si>
  <si>
    <t xml:space="preserve">苗栗縣頭份市上埔社區發展協會                                            </t>
  </si>
  <si>
    <t xml:space="preserve">苗栗縣頭份市上埔里上埔路83巷221號                             </t>
  </si>
  <si>
    <t>B00108073370036</t>
  </si>
  <si>
    <t>溫馨慶端午關懷養生</t>
  </si>
  <si>
    <t>800000H147429052</t>
  </si>
  <si>
    <t xml:space="preserve">苗栗縣勝利溫馨關懷協會                                                  </t>
  </si>
  <si>
    <t xml:space="preserve">苗栗市勝利里17鄰勝利53-1號                                    </t>
  </si>
  <si>
    <t>B00108073370041</t>
  </si>
  <si>
    <t>阿公阿婆ㄟ童謠ㄋ去咧暨節碳宣導</t>
  </si>
  <si>
    <t>800000H119271925</t>
  </si>
  <si>
    <t xml:space="preserve">苗栗縣頭份市東庄社區發展協會                                            </t>
  </si>
  <si>
    <t xml:space="preserve">苗栗縣頭份市東庄里中央路35巷22號                              </t>
  </si>
  <si>
    <t>B00108073370045</t>
  </si>
  <si>
    <t>108年度登革熱防治及節能減碳宣</t>
  </si>
  <si>
    <t>800000F120261452</t>
  </si>
  <si>
    <t xml:space="preserve">臺南市官田區老人福利協進會                                              </t>
  </si>
  <si>
    <t xml:space="preserve">台南市官田區二鎮里26-5號                                      </t>
  </si>
  <si>
    <t>B00108073370046</t>
  </si>
  <si>
    <t>縣長盃苗栗縣身心障礙者槌球賽</t>
  </si>
  <si>
    <t>800000F374872705</t>
  </si>
  <si>
    <t xml:space="preserve">社團法人苗栗縣同心身心障礙服務協進會陳裕炫                              </t>
  </si>
  <si>
    <t xml:space="preserve">苗栗縣竹南鎮中華里16鄰南寶街47號                              </t>
  </si>
  <si>
    <t>B00108073370048</t>
  </si>
  <si>
    <t>快樂送粽香，環保愛地球</t>
  </si>
  <si>
    <t>800000H172563324</t>
  </si>
  <si>
    <t xml:space="preserve">苗栗縣厝勝關懷文化協會                                                  </t>
  </si>
  <si>
    <t xml:space="preserve">苗栗縣後龍鎮大庄里８鄰民族路１２０號　　　　　　　　　　　　  </t>
  </si>
  <si>
    <t>B00108073370049</t>
  </si>
  <si>
    <t>飛鳳傳承再創新民俗藝文季活動</t>
  </si>
  <si>
    <t>800000H138894556</t>
  </si>
  <si>
    <t xml:space="preserve">苗栗縣飛鳳文化傳承協會                                                  </t>
  </si>
  <si>
    <t xml:space="preserve">苗栗縣竹南鎮龍鳳里6鄰龍山路1段302號2弄1號                     </t>
  </si>
  <si>
    <t>B00108073370050</t>
  </si>
  <si>
    <t>銀髮族自由歌唱比賽活動</t>
  </si>
  <si>
    <t>800000F345499030</t>
  </si>
  <si>
    <t xml:space="preserve">苗栗縣中華博愛協會                                                      </t>
  </si>
  <si>
    <t xml:space="preserve">竹南鎮中華里大同街9號                                         </t>
  </si>
  <si>
    <t>B00108073370051</t>
  </si>
  <si>
    <t>田美社區媽媽教室客家歌謠班</t>
  </si>
  <si>
    <t>800000H195839359</t>
  </si>
  <si>
    <t xml:space="preserve">苗栗縣南庄鄉田美社區發展協會                                            </t>
  </si>
  <si>
    <t xml:space="preserve">苗栗縣南庄鄉田美村7鄰131號                                    </t>
  </si>
  <si>
    <t>B00108073370054</t>
  </si>
  <si>
    <t>苗栗縣108年度端午節關懷弱勢</t>
  </si>
  <si>
    <t>800000F339686612</t>
  </si>
  <si>
    <t xml:space="preserve">苗栗縣海岸青年協會                                                      </t>
  </si>
  <si>
    <t xml:space="preserve">苗栗縣後龍鎮成功路161巷23號                                   </t>
  </si>
  <si>
    <t>B00108073370058</t>
  </si>
  <si>
    <t>辦理健行活動暨健康講座活動</t>
  </si>
  <si>
    <t>800000H149766608</t>
  </si>
  <si>
    <t xml:space="preserve">苗栗縣通霄鎮平元社區發展協會                                            </t>
  </si>
  <si>
    <t xml:space="preserve">苗栗縣通霄鎮平元里平新一路114號                               </t>
  </si>
  <si>
    <t>B00108073370062</t>
  </si>
  <si>
    <t>辦理端午粽香傳鄉里活動</t>
  </si>
  <si>
    <t>800000H166843360</t>
  </si>
  <si>
    <t xml:space="preserve">苗栗縣通霄鎮梅南社區發展協會                                            </t>
  </si>
  <si>
    <t xml:space="preserve">苗栗縣通霄鎮梅南里13鄰90號                                    </t>
  </si>
  <si>
    <t>B00108073370063</t>
  </si>
  <si>
    <t>108年度巧手拼創意植物生葉搥染</t>
  </si>
  <si>
    <t>800000H110924919</t>
  </si>
  <si>
    <t xml:space="preserve">苗栗縣泰湖舞蹈運動協會                                                  </t>
  </si>
  <si>
    <t xml:space="preserve">苗栗縣三義鄉中正路175號                                       </t>
  </si>
  <si>
    <t>B00108073370064</t>
  </si>
  <si>
    <t>辦理通霄鎮民黃陳美圓急難救助</t>
  </si>
  <si>
    <t>L2200731</t>
  </si>
  <si>
    <t xml:space="preserve">黃陳美圓                                                                </t>
  </si>
  <si>
    <t xml:space="preserve">苗栗縣通霄鎮通西里28鄰中山路3巷9號                            </t>
  </si>
  <si>
    <t>B00108073370067</t>
  </si>
  <si>
    <t>108年度花現新農村暨關懷身障者</t>
  </si>
  <si>
    <t>800000F374821447</t>
  </si>
  <si>
    <t xml:space="preserve">臺南市官田區東西庄社區發展協會                                          </t>
  </si>
  <si>
    <t xml:space="preserve">臺南市官田區東庄里3鄰125-2號                                  </t>
  </si>
  <si>
    <t>B00108073370070</t>
  </si>
  <si>
    <t>第三屆【武聖獎】硬筆字書法比賽</t>
  </si>
  <si>
    <t>B00108073370078</t>
  </si>
  <si>
    <t>苗栗縣後龍鎮徐明桂急難救助</t>
  </si>
  <si>
    <t>K1221293</t>
  </si>
  <si>
    <t xml:space="preserve">徐寶溢                                                                  </t>
  </si>
  <si>
    <t>B00108073370080</t>
  </si>
  <si>
    <t>辦理「愛我家鄉‧社區產業觀摩」</t>
  </si>
  <si>
    <t>800000H145526206</t>
  </si>
  <si>
    <t xml:space="preserve">苗栗縣族群文化發展協會                                                  </t>
  </si>
  <si>
    <t xml:space="preserve">苗栗縣頭份市中正路270號                                       </t>
  </si>
  <si>
    <t>B00108073370093</t>
  </si>
  <si>
    <t>108加強社區安全防護及環境衛生</t>
  </si>
  <si>
    <t>800000H145351418</t>
  </si>
  <si>
    <t xml:space="preserve">苗栗縣苗栗市上苗守望相助推展協會                                        </t>
  </si>
  <si>
    <t xml:space="preserve">苗栗市中正路13鄰121號                                         </t>
  </si>
  <si>
    <t>B00108073370103</t>
  </si>
  <si>
    <t>苗栗縣後龍鎮藍根發急難救助</t>
  </si>
  <si>
    <t>K2210471</t>
  </si>
  <si>
    <t xml:space="preserve">林阿蘭                                                                  </t>
  </si>
  <si>
    <t>B00108073370111</t>
  </si>
  <si>
    <t>108年度慶祝端午節活動</t>
  </si>
  <si>
    <t>800000H195841881</t>
  </si>
  <si>
    <t xml:space="preserve">苗栗縣獅潭鄉豐林社區發展協會                                            </t>
  </si>
  <si>
    <t xml:space="preserve">獅潭鄉豐林村１０鄰２４號　　　　　　　　　　　　　　　　　　  </t>
  </si>
  <si>
    <t>B00108073370114</t>
  </si>
  <si>
    <t>原住民植物染傳統手工藝製作</t>
  </si>
  <si>
    <t>B00108073370117</t>
  </si>
  <si>
    <t>108年志工關懷心防癌暨節能減碳</t>
  </si>
  <si>
    <t>800000H139885703</t>
  </si>
  <si>
    <t xml:space="preserve">苗栗縣保福志工文化協會                                                  </t>
  </si>
  <si>
    <t xml:space="preserve">苗栗縣竹南鎮海口里10鄰保福路61號                              </t>
  </si>
  <si>
    <t>B00108073370118</t>
  </si>
  <si>
    <t>文化保存暨如何達到樂居山城減碳</t>
  </si>
  <si>
    <t>800000H172461375</t>
  </si>
  <si>
    <t xml:space="preserve">苗栗縣文創產業協會                                                      </t>
  </si>
  <si>
    <t xml:space="preserve">苗栗縣造橋鄉大西村13鄰大西二街85巷6號                         </t>
  </si>
  <si>
    <t>B00108073370119</t>
  </si>
  <si>
    <t>謝元斌急難救助</t>
  </si>
  <si>
    <t>K1217609</t>
  </si>
  <si>
    <t xml:space="preserve">謝元斌                                                                  </t>
  </si>
  <si>
    <t xml:space="preserve">苗栗縣頭份市自強里8鄰中正路119號                              </t>
  </si>
  <si>
    <t>B00108073370126</t>
  </si>
  <si>
    <t>苗栗縣竹南鎮林麗珠急難救助</t>
  </si>
  <si>
    <t>K2207392</t>
  </si>
  <si>
    <t xml:space="preserve">林麗珠                                                                  </t>
  </si>
  <si>
    <t>D41</t>
  </si>
  <si>
    <t>台中營業處　　　　　　　　　　　　　　　</t>
  </si>
  <si>
    <t>D41108063370007</t>
  </si>
  <si>
    <t>臺中市大肚區新移民女性家庭關懷協會</t>
  </si>
  <si>
    <t>G1</t>
  </si>
  <si>
    <t>108性別平等&amp;慶端午暨節約能源</t>
  </si>
  <si>
    <t>800041G126951530</t>
  </si>
  <si>
    <t xml:space="preserve">臺中市大肚區新移民女性家庭關懷協會                                      </t>
  </si>
  <si>
    <t xml:space="preserve">台中市大肚區新興里沙田路二段１３２巷１３６號　　　　　　　　  </t>
  </si>
  <si>
    <t>D41108063370008</t>
  </si>
  <si>
    <t>臺中市大肚區軟式網球協會</t>
  </si>
  <si>
    <t>大烏龍區軟式網球錦標賽</t>
  </si>
  <si>
    <t>800041H199175261</t>
  </si>
  <si>
    <t xml:space="preserve">臺中市大肚區軟式網球協會                                                </t>
  </si>
  <si>
    <t xml:space="preserve">台中市大肚區沙田路三段888巷7號                                </t>
  </si>
  <si>
    <t>D41108063370009</t>
  </si>
  <si>
    <t>臺中市大肚區元極舞協會</t>
  </si>
  <si>
    <t>戶外生態教育暨節能減碳宣導活動</t>
  </si>
  <si>
    <t>800041H109293338</t>
  </si>
  <si>
    <t xml:space="preserve">臺中市大肚區元極舞協會                                                  </t>
  </si>
  <si>
    <t xml:space="preserve">台中市大肚區頂街里沙田路二段748號                             </t>
  </si>
  <si>
    <t>D41108063370010</t>
  </si>
  <si>
    <t>A4</t>
  </si>
  <si>
    <t>108年度管樂團享樂百分百音樂會</t>
  </si>
  <si>
    <t>800041A455761833</t>
  </si>
  <si>
    <t xml:space="preserve">臺中市大肚區追分國民小學保管金專戶                                      </t>
  </si>
  <si>
    <t xml:space="preserve">台中市大肚區沙田路一段364號                                   </t>
  </si>
  <si>
    <t>D41108073370009</t>
  </si>
  <si>
    <t>臺中市追分婦女才藝成長協會</t>
  </si>
  <si>
    <t>JC</t>
  </si>
  <si>
    <t>社區文化觀摩暨綠美化教學宣導</t>
  </si>
  <si>
    <t>800041JC09231235</t>
  </si>
  <si>
    <t xml:space="preserve">臺中市追分婦女才藝成長協會                                              </t>
  </si>
  <si>
    <t xml:space="preserve">台中市大肚區王田里興和路185巷11號                             </t>
  </si>
  <si>
    <t>D41108073370011</t>
  </si>
  <si>
    <t>108年王田社區發展協會土風舞班</t>
  </si>
  <si>
    <t>800041JC99694783</t>
  </si>
  <si>
    <t xml:space="preserve">臺中市大肚區王田社區發展協會                                            </t>
  </si>
  <si>
    <t xml:space="preserve">臺中市大肚區王田里興和路257號                                 </t>
  </si>
  <si>
    <t>D41108073370013</t>
  </si>
  <si>
    <t>J9</t>
  </si>
  <si>
    <t>王田社區民防隊自強活動暨節能</t>
  </si>
  <si>
    <t>800041J999694783</t>
  </si>
  <si>
    <t>D41108073370015</t>
  </si>
  <si>
    <t>大肚區頂街社區親子登山健行</t>
  </si>
  <si>
    <t>800041H172422606</t>
  </si>
  <si>
    <t xml:space="preserve">臺中市大肚區頂街社區營造協會                                            </t>
  </si>
  <si>
    <t xml:space="preserve">臺中市大肚區沙田路三段69號                                    </t>
  </si>
  <si>
    <t xml:space="preserve">轉帳  </t>
  </si>
  <si>
    <t xml:space="preserve">已核定      </t>
  </si>
  <si>
    <t xml:space="preserve">                                                                        </t>
  </si>
  <si>
    <t>D43</t>
  </si>
  <si>
    <t>嘉義營業處　　　　　　　　　　　　　　　</t>
  </si>
  <si>
    <t>D43108063370017</t>
  </si>
  <si>
    <t>民雄綠動四在必行暨義志工表揚</t>
  </si>
  <si>
    <t>800043A4</t>
  </si>
  <si>
    <t xml:space="preserve">嘉義縣民雄鄉公所                                                        </t>
  </si>
  <si>
    <t xml:space="preserve">嘉義縣民雄鄉中樂村文化路７號　　　　　　　　　　　　　　　　  </t>
  </si>
  <si>
    <t>D43108063370021</t>
  </si>
  <si>
    <t>湖西社區資源回收暨端午節活動</t>
  </si>
  <si>
    <t>800043G1</t>
  </si>
  <si>
    <t xml:space="preserve">澎湖縣湖西鄉湖西社區發展協會                                            </t>
  </si>
  <si>
    <t xml:space="preserve">澎湖縣湖西鄉湖西村11之6號                                     </t>
  </si>
  <si>
    <t>D43108063370022</t>
  </si>
  <si>
    <t>林投社區-端午暨節能減碳活動</t>
  </si>
  <si>
    <t xml:space="preserve">澎湖縣湖西鄉林投社區發展協會                                            </t>
  </si>
  <si>
    <t xml:space="preserve">澎湖縣湖西鄉林投村13-1號                                      </t>
  </si>
  <si>
    <t>D43108073370007</t>
  </si>
  <si>
    <t>角帶社區108年端午節珍愛地球</t>
  </si>
  <si>
    <t xml:space="preserve">臺南市新營區角帶社區發展協會                                            </t>
  </si>
  <si>
    <t xml:space="preserve">台南市新營區角帶里６５－１號　　　　　　　　　　　　　　　　  </t>
  </si>
  <si>
    <t>D43108073370008</t>
  </si>
  <si>
    <t>秀林社區108年端午節關懷弱勢</t>
  </si>
  <si>
    <t xml:space="preserve">嘉義縣民雄鄉秀林社區發展協會                                            </t>
  </si>
  <si>
    <t xml:space="preserve">嘉義縣民雄鄉秀林村１５鄰３８－１號　　　　　　　　　　　　　  </t>
  </si>
  <si>
    <t>D50</t>
  </si>
  <si>
    <t>台南營業處　　　　　　　　　　　　　　　</t>
  </si>
  <si>
    <t>D50108063370011</t>
  </si>
  <si>
    <t>補助豐德社區辦包粽關懷弱勢活動</t>
  </si>
  <si>
    <t>800050G1</t>
  </si>
  <si>
    <t xml:space="preserve">台南市山上區豐德社區發展協會                                            </t>
  </si>
  <si>
    <t xml:space="preserve">台南市山上區豐德里５１－１號　　　　　　　　　　　　　　　　  </t>
  </si>
  <si>
    <t>D50108063370013</t>
  </si>
  <si>
    <t>補助三民社區辦端午送愛心活動</t>
  </si>
  <si>
    <t xml:space="preserve">台南市永康區三民社區發展協會                                            </t>
  </si>
  <si>
    <t xml:space="preserve">台南市永康區三民里三民街９０巷３５號　　　　　　　　　　　　  </t>
  </si>
  <si>
    <t>D50108063370015</t>
  </si>
  <si>
    <t>補助三民社區辦環保志工觀摩活動</t>
  </si>
  <si>
    <t>800050H1</t>
  </si>
  <si>
    <t>D51</t>
  </si>
  <si>
    <t>高雄營業處　　　　　　　　　　　　　　　</t>
  </si>
  <si>
    <t>D51108063370010</t>
  </si>
  <si>
    <t>粽葉飄香情歡樂慶端午睦鄰活動</t>
  </si>
  <si>
    <t>800000G117025820</t>
  </si>
  <si>
    <t xml:space="preserve">高雄市橋頭區仕隆社區發展協會                                            </t>
  </si>
  <si>
    <t xml:space="preserve">高雄市橋頭區仕隆路６２號之１　　　　　　　　　　　　　　　　  </t>
  </si>
  <si>
    <t>D51108063370011</t>
  </si>
  <si>
    <t>長壽會踏青健康行活動</t>
  </si>
  <si>
    <t>800000F387896047</t>
  </si>
  <si>
    <t xml:space="preserve">高雄市橋頭區三德社區發展協會                                            </t>
  </si>
  <si>
    <t xml:space="preserve">高雄市橋頭區三德里三仙路２３號　　　　　　　　　　　　　　　  </t>
  </si>
  <si>
    <t>D51108063370012</t>
  </si>
  <si>
    <t>補助端午節聯誼活動</t>
  </si>
  <si>
    <t>800000G129370071</t>
  </si>
  <si>
    <t xml:space="preserve">金門縣金湖鎮新頭社區發展協會陳國泰                                      </t>
  </si>
  <si>
    <t xml:space="preserve">金門縣金湖鎮新湖里新頭９２─１號　　　　　　　　　　　　　　  </t>
  </si>
  <si>
    <t>D51108073370006</t>
  </si>
  <si>
    <t>JX</t>
  </si>
  <si>
    <t>反詐騙反毒暨節能減碳宣導活動</t>
  </si>
  <si>
    <t>800000JX20254585</t>
  </si>
  <si>
    <t xml:space="preserve">高雄市橋頭區甲北社區發展協會                                            </t>
  </si>
  <si>
    <t xml:space="preserve">高雄市橋頭區甲圍路６６號　　　　　　　　　　　　　　　　　　  </t>
  </si>
  <si>
    <t>D51108073370009</t>
  </si>
  <si>
    <t>JF</t>
  </si>
  <si>
    <t>寵物活動三部曲</t>
  </si>
  <si>
    <t>800000JF47642407</t>
  </si>
  <si>
    <t xml:space="preserve">高雄市嗡嗡嗡動保協會                                                    </t>
  </si>
  <si>
    <t xml:space="preserve">高雄市岡山區久和路２２號１１樓                                </t>
  </si>
  <si>
    <t>D61</t>
  </si>
  <si>
    <t>東區營業處　　　　　　　　　　　　　　　</t>
  </si>
  <si>
    <t>D61108063370012</t>
  </si>
  <si>
    <t>新城鄉公所原住民族產業發展觀摩</t>
  </si>
  <si>
    <t>800061JX</t>
  </si>
  <si>
    <t xml:space="preserve">花蓮縣新城鄉公所                                                        </t>
  </si>
  <si>
    <t xml:space="preserve">花蓮縣新城鄉大漢村光復路570號                                 </t>
  </si>
  <si>
    <t>D61108063370015</t>
  </si>
  <si>
    <t>佳民村民林正雄急難救助金</t>
  </si>
  <si>
    <t>800061D1</t>
  </si>
  <si>
    <t>D6121222</t>
  </si>
  <si>
    <t xml:space="preserve">中油公司東區營業處花蓮供油北庫週轉金                                    </t>
  </si>
  <si>
    <t xml:space="preserve">花蓮市東興路285號                                             </t>
  </si>
  <si>
    <t>D61108063370016</t>
  </si>
  <si>
    <t>佳民村民余政華急難救助金</t>
  </si>
  <si>
    <t>D61108063370017</t>
  </si>
  <si>
    <t>佳民村民邱玉香急難救助金</t>
  </si>
  <si>
    <t>D61108063370018</t>
  </si>
  <si>
    <t>噶瑪蘭協會原住民志工感恩活動</t>
  </si>
  <si>
    <t xml:space="preserve">花蓮縣新城鄉噶瑪蘭文化發展協會                                          </t>
  </si>
  <si>
    <t xml:space="preserve">花蓮縣新城鄉嘉里村嘉里二路99之1號                             </t>
  </si>
  <si>
    <t>D61108063370023</t>
  </si>
  <si>
    <t>長安社區協會志工服務隊環保課程</t>
  </si>
  <si>
    <t xml:space="preserve">宜蘭縣蘇澳鎮長安社區發展協會                                            </t>
  </si>
  <si>
    <t xml:space="preserve">宜蘭縣蘇澳鎮勝利路1-1號                                       </t>
  </si>
  <si>
    <t>D61108063370028</t>
  </si>
  <si>
    <t>108新城鄉公所五月飄香端午活動</t>
  </si>
  <si>
    <t>800061G1</t>
  </si>
  <si>
    <t>D61108073370005</t>
  </si>
  <si>
    <t>108蘇澳鎮公所龍舟海上競渡活動</t>
  </si>
  <si>
    <t xml:space="preserve">宜蘭縣蘇澳鎮公所                                                        </t>
  </si>
  <si>
    <t xml:space="preserve">宜蘭縣蘇澳鎮蘇港路215號                                       </t>
  </si>
  <si>
    <t>D61108073370006</t>
  </si>
  <si>
    <t>108新城鄉公所村鄰長政令宣導</t>
  </si>
  <si>
    <t>D61108073370008</t>
  </si>
  <si>
    <t>新城鄉康樂社區協會環保生態教育</t>
  </si>
  <si>
    <t xml:space="preserve">花蓮縣新城鄉康樂社區發展協會                                            </t>
  </si>
  <si>
    <t xml:space="preserve">花蓮縣新城鄉光復路185號                                       </t>
  </si>
  <si>
    <t>D61108073370011</t>
  </si>
  <si>
    <t>順安社區108年觀摩活動</t>
  </si>
  <si>
    <t xml:space="preserve">順安社區發展協會                                                        </t>
  </si>
  <si>
    <t xml:space="preserve">花蓮縣新城鄉順安村草林１５８號　　　　　　　　　　　　　　　  </t>
  </si>
  <si>
    <t>D61108073370012</t>
  </si>
  <si>
    <t>永樂社區慶祝母親節活動</t>
  </si>
  <si>
    <t xml:space="preserve">宜蘭縣蘇澳鎮永樂社區發展協會                                            </t>
  </si>
  <si>
    <t xml:space="preserve">蘇澳鎮永樂里永樂路78號                                        </t>
  </si>
  <si>
    <t>E00</t>
  </si>
  <si>
    <t>煉製研究所　　　　　　　　　　　　　　　</t>
  </si>
  <si>
    <t>E00108073370012</t>
  </si>
  <si>
    <t>8000E00D1</t>
  </si>
  <si>
    <t>0D</t>
  </si>
  <si>
    <t>F00</t>
  </si>
  <si>
    <t>探採研究所　　　　　　　　　　　　　　　</t>
  </si>
  <si>
    <t>F00108063370006</t>
  </si>
  <si>
    <t>108年度端午節系列活動</t>
  </si>
  <si>
    <t>8000F00G1</t>
  </si>
  <si>
    <t>0G</t>
  </si>
  <si>
    <t xml:space="preserve">苗栗縣苗栗市文山社區發展協會                                            </t>
  </si>
  <si>
    <t xml:space="preserve">苗栗市文山里５鄰文發路１６９－１號　　　　　　　　　　　　　  </t>
  </si>
  <si>
    <t>F00108073370004</t>
  </si>
  <si>
    <t>J4</t>
  </si>
  <si>
    <t>108年淨化社區環境暨親子活動</t>
  </si>
  <si>
    <t>8000F00J4</t>
  </si>
  <si>
    <t>0J</t>
  </si>
  <si>
    <t xml:space="preserve">苗栗市文聖社區發展協會                                                  </t>
  </si>
  <si>
    <t xml:space="preserve">苗栗縣苗栗市文聖里3鄰國華路700號                              </t>
  </si>
  <si>
    <t>L50</t>
  </si>
  <si>
    <t>液化天然氣工程處　　　　　　　　　　　　</t>
  </si>
  <si>
    <t>G00108063370034</t>
  </si>
  <si>
    <t>臺中市龍井區元極舞協會</t>
  </si>
  <si>
    <t>108年度文化學習活動</t>
  </si>
  <si>
    <t>800000JX</t>
  </si>
  <si>
    <t xml:space="preserve">臺中市龍井區元極舞協會                                                  </t>
  </si>
  <si>
    <t xml:space="preserve">臺中市龍井區忠和里中央路三段6號                               </t>
  </si>
  <si>
    <t>L00</t>
  </si>
  <si>
    <t>G00108063370035</t>
  </si>
  <si>
    <t>桃園市觀音區大潭社區發展協會</t>
  </si>
  <si>
    <t>社區參訪研習活動</t>
  </si>
  <si>
    <t xml:space="preserve">桃園市觀音區大潭社區發展協會                                            </t>
  </si>
  <si>
    <t xml:space="preserve">桃園市觀音區大潭里保生三街61號                                </t>
  </si>
  <si>
    <t>G00108063370036</t>
  </si>
  <si>
    <t>臺中市龍井區新庄社區發展協會</t>
  </si>
  <si>
    <t>經驗研習文化交流優良社區參訪活</t>
  </si>
  <si>
    <t xml:space="preserve">臺中市龍井區新庄社區發展協會                                            </t>
  </si>
  <si>
    <t xml:space="preserve">台中市龍井區新庄街1段173號                                    </t>
  </si>
  <si>
    <t>G00</t>
  </si>
  <si>
    <t>G00108063370037</t>
  </si>
  <si>
    <t>臺中市大肚區蔗部社區發展協會</t>
  </si>
  <si>
    <t>社區老人關懷暨樂齡學習中心志工</t>
  </si>
  <si>
    <t xml:space="preserve">臺中市大肚區蔗部社區發展協會                                            </t>
  </si>
  <si>
    <t xml:space="preserve">台中市大肚區中蔗路2-5號                                       </t>
  </si>
  <si>
    <t>G00108063370038</t>
  </si>
  <si>
    <t>臺中市龍井區山腳社區發展協會</t>
  </si>
  <si>
    <t>婦女成長班108年境外生態參訪</t>
  </si>
  <si>
    <t xml:space="preserve">臺中市龍井區山腳社區發展協會                                            </t>
  </si>
  <si>
    <t xml:space="preserve">台中市龍井區山腳里龍山街258號                                 </t>
  </si>
  <si>
    <t>G00108063370039</t>
  </si>
  <si>
    <t>臺中市大肚區永和社區發展協會</t>
  </si>
  <si>
    <t>長壽俱樂部文化之旅</t>
  </si>
  <si>
    <t xml:space="preserve">臺中市大肚區永和社區發展協會                                            </t>
  </si>
  <si>
    <t xml:space="preserve">臺中市大肚區永和里26號                                        </t>
  </si>
  <si>
    <t>G00108063370040</t>
  </si>
  <si>
    <t>臺中市龍井區福田社區發展協會</t>
  </si>
  <si>
    <t>境外績優文化戶外參訪活動</t>
  </si>
  <si>
    <t xml:space="preserve">臺中市龍井區福田社區發展協會                                            </t>
  </si>
  <si>
    <t xml:space="preserve">臺中市龍井區福田里茄投路1鄰海埔仔巷6號                        </t>
  </si>
  <si>
    <t>G00108063370042</t>
  </si>
  <si>
    <t>龍津守望業務訓練交流活動</t>
  </si>
  <si>
    <t xml:space="preserve">臺中市龍井區公所保管款專戶                                              </t>
  </si>
  <si>
    <t xml:space="preserve">臺中市龍井區沙田路4段247號                                    </t>
  </si>
  <si>
    <t>G00108063370043</t>
  </si>
  <si>
    <t>大肚區成功里里民慶生聯誼活動</t>
  </si>
  <si>
    <t>80000JX</t>
  </si>
  <si>
    <t>X</t>
  </si>
  <si>
    <t xml:space="preserve">臺中市大肚區公所代辦經費專戶                                            </t>
  </si>
  <si>
    <t xml:space="preserve">臺中市大肚區公所                                              </t>
  </si>
  <si>
    <t>G00108063370044</t>
  </si>
  <si>
    <t>臺中市大肚區中和社區發展協會</t>
  </si>
  <si>
    <t>J2</t>
  </si>
  <si>
    <t>108年社區環保志工社區參訪活動</t>
  </si>
  <si>
    <t>800000J2</t>
  </si>
  <si>
    <t xml:space="preserve">臺中市大肚區中和社區發展協會                                            </t>
  </si>
  <si>
    <t xml:space="preserve">台中市大肚區中和里05鄰南榮路369巷51號                         </t>
  </si>
  <si>
    <t>G00108063370045</t>
  </si>
  <si>
    <t>臺中市龍井瑜珈協會</t>
  </si>
  <si>
    <t>瑜珈境外環保參訪活動</t>
  </si>
  <si>
    <t xml:space="preserve">臺中市龍井瑜珈協會                                                      </t>
  </si>
  <si>
    <t xml:space="preserve">台中市龍井區龍津里中央路一段238巷13號                         </t>
  </si>
  <si>
    <t>G00108063370046</t>
  </si>
  <si>
    <t>臺中市龍井區竹坑社區發展協會</t>
  </si>
  <si>
    <t>竹坑社區成長班境外文化參訪活動</t>
  </si>
  <si>
    <t xml:space="preserve">臺中市龍井區竹坑社區發展協會                                            </t>
  </si>
  <si>
    <t xml:space="preserve">台中市龍井區竹坑里沙田路4段276號                              </t>
  </si>
  <si>
    <t>G00108063370047</t>
  </si>
  <si>
    <t>臺中市龍井區田中社區發展協會</t>
  </si>
  <si>
    <t>境外績優文化參訪活動</t>
  </si>
  <si>
    <t xml:space="preserve">臺中市龍井區田中社區發展協會                                            </t>
  </si>
  <si>
    <t xml:space="preserve">臺中市龍井區田中里龍北路280巷10號                             </t>
  </si>
  <si>
    <t>G00108063370049</t>
  </si>
  <si>
    <t>社區志工隊參訪境外績優社區研習</t>
  </si>
  <si>
    <t>G00108063370050</t>
  </si>
  <si>
    <t>臺中市大肚區婦女會</t>
  </si>
  <si>
    <t>108年關懷老中青登山慢活行</t>
  </si>
  <si>
    <t xml:space="preserve">臺中市大肚區婦女會                                                      </t>
  </si>
  <si>
    <t xml:space="preserve">臺中市大肚區瑞井里遊園路一段8之6號                            </t>
  </si>
  <si>
    <t>G00108063370051</t>
  </si>
  <si>
    <t>臺中市大肚區新興社區發展協會</t>
  </si>
  <si>
    <t>108社區環保義工環境衛生參訪活</t>
  </si>
  <si>
    <t xml:space="preserve">臺中市大肚區新興社區發展協會                                            </t>
  </si>
  <si>
    <t xml:space="preserve">台中市大肚區新興里沙田路二段132巷6弄17號                      </t>
  </si>
  <si>
    <t>G00108063370052</t>
  </si>
  <si>
    <t>桃園市觀音區客家民俗文化發展協會</t>
  </si>
  <si>
    <t>108年端午節關懷獨居老人及貧困</t>
  </si>
  <si>
    <t xml:space="preserve">桃園市觀音區客家民俗文化發展協會                                        </t>
  </si>
  <si>
    <t xml:space="preserve">桃園市觀音區大潭里保生三街32號                                </t>
  </si>
  <si>
    <t>G00108063370053</t>
  </si>
  <si>
    <t>友誼盃槌球邀請賽活動</t>
  </si>
  <si>
    <t xml:space="preserve">臺中市身心障礙者健康促進會                                              </t>
  </si>
  <si>
    <t xml:space="preserve">臺中市沙鹿區鎮南路538巷1號                                    </t>
  </si>
  <si>
    <t>G00108063370054</t>
  </si>
  <si>
    <t>大潭里林瑞寬急難救助金</t>
  </si>
  <si>
    <t>G2300228</t>
  </si>
  <si>
    <t xml:space="preserve">林瑞寬                                                                  </t>
  </si>
  <si>
    <t xml:space="preserve">桃園市觀音區大潭里014鄰大潭18之20號                           </t>
  </si>
  <si>
    <t>G00108063370055</t>
  </si>
  <si>
    <t>廣興里鄒強急難救助金</t>
  </si>
  <si>
    <t>G2300229</t>
  </si>
  <si>
    <t xml:space="preserve">鄒強                                                                    </t>
  </si>
  <si>
    <t xml:space="preserve">桃園市觀音區廣興里009鄰中山路一段967巷131弄4號                </t>
  </si>
  <si>
    <t>G00108063370056</t>
  </si>
  <si>
    <t>臺中市龍井區南寮社區發展協會</t>
  </si>
  <si>
    <t>108年度長壽俱樂部戶外參訪活動</t>
  </si>
  <si>
    <t xml:space="preserve">臺中市龍井區南寮社區發展協會                                            </t>
  </si>
  <si>
    <t xml:space="preserve">台中市龍井區南寮里南寮巷1弄1號                                </t>
  </si>
  <si>
    <t>G00108063370057</t>
  </si>
  <si>
    <t>108年度境外績優社區參訪活動</t>
  </si>
  <si>
    <t xml:space="preserve">臺中市龍井區龍津社區發展協會紀少偉                                      </t>
  </si>
  <si>
    <t xml:space="preserve">台中市龍井區龍津里中央路１段２０８號　　　　　　　　　　　　  </t>
  </si>
  <si>
    <t>G00108063370058</t>
  </si>
  <si>
    <t>臺中市大肚區瑞井社區發展協會</t>
  </si>
  <si>
    <t>瑞井警察志工業務參訪活動</t>
  </si>
  <si>
    <t xml:space="preserve">臺中市大肚區瑞井社區發展協會                                            </t>
  </si>
  <si>
    <t xml:space="preserve">台中市大肚區瑞井里遊園路一段103-2號                           </t>
  </si>
  <si>
    <t>G00108063370059</t>
  </si>
  <si>
    <t>臺中市龍井區龍東社區發展協會</t>
  </si>
  <si>
    <t>長壽俱樂部文化交流活動</t>
  </si>
  <si>
    <t xml:space="preserve">臺中市龍井區龍東社區發展協會                                            </t>
  </si>
  <si>
    <t xml:space="preserve">臺中市龍井區龍東里茄投路63-9號                                </t>
  </si>
  <si>
    <t>G00108063370060</t>
  </si>
  <si>
    <t>武威里許秀娥急難救助金</t>
  </si>
  <si>
    <t>G2300230</t>
  </si>
  <si>
    <t xml:space="preserve">許秀娥                                                                  </t>
  </si>
  <si>
    <t xml:space="preserve">桃園市觀音區武威里濱海路大潭段7鄰濱海路217號                  </t>
  </si>
  <si>
    <t>G00108073370001</t>
  </si>
  <si>
    <t>臺中市龍井區新移民女性家庭關懷協會</t>
  </si>
  <si>
    <t>108年度文化參訪活動</t>
  </si>
  <si>
    <t xml:space="preserve">臺中市龍井區新移民女性家庭關懷協會                                      </t>
  </si>
  <si>
    <t xml:space="preserve">台中市龍井區龍山街２５８號                                    </t>
  </si>
  <si>
    <t>G00108073370004</t>
  </si>
  <si>
    <t>臺中市沙鹿區福興社區發展協會</t>
  </si>
  <si>
    <t>108年度端午佳節迎粽香活動</t>
  </si>
  <si>
    <t>800000G1</t>
  </si>
  <si>
    <t xml:space="preserve">臺中市沙鹿區福興社區發展協會                                            </t>
  </si>
  <si>
    <t xml:space="preserve">台中市沙鹿區福興里福成路31號                                  </t>
  </si>
  <si>
    <t>G00108073370005</t>
  </si>
  <si>
    <t>龍泉守望社區治安維護活動</t>
  </si>
  <si>
    <t>G00108073370008</t>
  </si>
  <si>
    <t>觀音區大潭里黃貴壽急難救助金</t>
  </si>
  <si>
    <t>G2300234</t>
  </si>
  <si>
    <t xml:space="preserve">黃貴壽                                                                  </t>
  </si>
  <si>
    <t xml:space="preserve">桃園市觀音區大潭里11鄰23-1號                                  </t>
  </si>
  <si>
    <t>G00108073370009</t>
  </si>
  <si>
    <t>龍井區龍崗里蔡秋碧急難救助金</t>
  </si>
  <si>
    <t>G2300231</t>
  </si>
  <si>
    <t xml:space="preserve">蔡秋碧                                                                  </t>
  </si>
  <si>
    <t xml:space="preserve">臺中市龍井區龍崗里竹師路二段16巷26號                          </t>
  </si>
  <si>
    <t>G00108073370010</t>
  </si>
  <si>
    <t>觀音區大潭里廖惠美急難救助金</t>
  </si>
  <si>
    <t>G2300233</t>
  </si>
  <si>
    <t xml:space="preserve">廖惠美                                                                  </t>
  </si>
  <si>
    <t xml:space="preserve">桃園市觀音區大潭里15鄰大潭18-63號                             </t>
  </si>
  <si>
    <t>G00108073370011</t>
  </si>
  <si>
    <t>新庄里環保第八小隊節能減碳宣導</t>
  </si>
  <si>
    <t>G00108073370012</t>
  </si>
  <si>
    <t>東海里環保志工13小隊教育參訪</t>
  </si>
  <si>
    <t>G00108073370015</t>
  </si>
  <si>
    <t>臺中市大肚區山陽社區發展協會</t>
  </si>
  <si>
    <t>環保志工隊108年生態教育參訪</t>
  </si>
  <si>
    <t xml:space="preserve">臺中市大肚區山陽社區發展協會                                            </t>
  </si>
  <si>
    <t xml:space="preserve">台中市大肚區山陽里沙田路３段564號                             </t>
  </si>
  <si>
    <t>G00108073370016</t>
  </si>
  <si>
    <t>義勇消防婦宣犁份分隊績優人員表</t>
  </si>
  <si>
    <t>G00108073370017</t>
  </si>
  <si>
    <t>桃園市觀音區族群融合協進會</t>
  </si>
  <si>
    <t>節能減碳節約用水政策宣導活動</t>
  </si>
  <si>
    <t xml:space="preserve">桃園市觀音區族群融合協進會                                              </t>
  </si>
  <si>
    <t xml:space="preserve">桃園市觀音區坑尾村２鄰６－３號　　　　　　　　　　　　　　　  </t>
  </si>
  <si>
    <t>G00108073370018</t>
  </si>
  <si>
    <t>龍井區田中里王小連急難救助金</t>
  </si>
  <si>
    <t>G2300232</t>
  </si>
  <si>
    <t xml:space="preserve">王小連                                                                  </t>
  </si>
  <si>
    <t xml:space="preserve">臺中市龍井區田中里龍北路305巷18號                             </t>
  </si>
  <si>
    <t>G00108073370019</t>
  </si>
  <si>
    <t>桃園市觀音區觀音社區發展協會</t>
  </si>
  <si>
    <t>五月節包粽樂融融-關懷老人活</t>
  </si>
  <si>
    <t xml:space="preserve">桃園市觀音區觀音社區發展協會                                            </t>
  </si>
  <si>
    <t xml:space="preserve">桃園市觀音區觀音里信義路59號-1                                </t>
  </si>
  <si>
    <t>L30</t>
  </si>
  <si>
    <t>北區營業處　　　　　　　　　　　　　　　</t>
  </si>
  <si>
    <t>L30108063370020</t>
  </si>
  <si>
    <t>端午佳節客家粽教學活動</t>
  </si>
  <si>
    <t>800030G117879559</t>
  </si>
  <si>
    <t xml:space="preserve">桃園市龍潭區高平社區發展協會                                            </t>
  </si>
  <si>
    <t xml:space="preserve">桃園市龍潭區龍源路11號                                        </t>
  </si>
  <si>
    <t>L30108063370021</t>
  </si>
  <si>
    <t>第63屆畢業典禮暨節約能源宣導</t>
  </si>
  <si>
    <t>800030A408426887</t>
  </si>
  <si>
    <t xml:space="preserve">桃園市觀音區保生國民小學保管金專戶                                      </t>
  </si>
  <si>
    <t xml:space="preserve">桃園市觀音區保生里14鄰5號                                     </t>
  </si>
  <si>
    <t>L30108073370012</t>
  </si>
  <si>
    <t>第63屆畢業活動暨節約能源宣導</t>
  </si>
  <si>
    <t>800030A445012614</t>
  </si>
  <si>
    <t xml:space="preserve">桃園市觀音區大潭國民小學保管金專戶                                      </t>
  </si>
  <si>
    <t xml:space="preserve">桃園縣觀音鄉大潭村10鄰濱海路大潭段687號                       </t>
  </si>
  <si>
    <t>L30108073370017</t>
  </si>
  <si>
    <t>淨山與環境生態教育活動</t>
  </si>
  <si>
    <t>800030H117133102</t>
  </si>
  <si>
    <t xml:space="preserve">陽森山莊社區管理委員會                                                  </t>
  </si>
  <si>
    <t xml:space="preserve">桃園縣楊梅市老莊路505巷77弄19號                               </t>
  </si>
  <si>
    <t>L30108073370018</t>
  </si>
  <si>
    <t>108年關懷志工研習活動</t>
  </si>
  <si>
    <t>800030H147448868</t>
  </si>
  <si>
    <t xml:space="preserve">苗栗縣野薑花愛心協會                                                    </t>
  </si>
  <si>
    <t xml:space="preserve">苗栗縣頭份市後庄里21鄰中央路680號                             </t>
  </si>
  <si>
    <t>台中液化天然氣廠　　　　　　　　　　　　</t>
  </si>
  <si>
    <t>L50108063370026</t>
  </si>
  <si>
    <t>大村社區協會端午節體驗包粽活動</t>
  </si>
  <si>
    <t xml:space="preserve">臺中市梧棲區大村社區發展協會                                            </t>
  </si>
  <si>
    <t xml:space="preserve">台中市梧棲區大村里中央路一段808-1號                           </t>
  </si>
  <si>
    <t>L50108063370027</t>
  </si>
  <si>
    <t>永寧社區協會績優社區交流活動</t>
  </si>
  <si>
    <t xml:space="preserve">臺中市梧棲區永寧社區發展協會                                            </t>
  </si>
  <si>
    <t xml:space="preserve">臺中市梧棲區中華路１段５５９巷７０弄３０號　　　　　　　　　  </t>
  </si>
  <si>
    <t>L50108063370028</t>
  </si>
  <si>
    <t>大庄社區協會粽葉飄香賀端午活動</t>
  </si>
  <si>
    <t xml:space="preserve">臺中市梧棲區大庄社區發展協會陳景全                                      </t>
  </si>
  <si>
    <t xml:space="preserve">臺中市梧棲區大庄里文華街168巷1號                              </t>
  </si>
  <si>
    <t>L50108073370005</t>
  </si>
  <si>
    <t>中和社區協會績優社區交流活動</t>
  </si>
  <si>
    <t xml:space="preserve">臺中市梧棲區中和社區發展協會                                            </t>
  </si>
  <si>
    <t xml:space="preserve">台中市梧棲區西建路84號                                        </t>
  </si>
  <si>
    <t>L50108073370006</t>
  </si>
  <si>
    <t>下寮社區協會粽葉飄香賀端午活動</t>
  </si>
  <si>
    <t xml:space="preserve">臺中市梧棲區下寮社區發展協會                                            </t>
  </si>
  <si>
    <t xml:space="preserve">臺中市梧棲區下寮里中和街302號                                 </t>
  </si>
  <si>
    <t>L50108073370007</t>
  </si>
  <si>
    <t>梧棲安良港環保志工隊交流活動</t>
  </si>
  <si>
    <t xml:space="preserve">臺中市梧棲安良港社區永續發展協會                                        </t>
  </si>
  <si>
    <t xml:space="preserve">台中市梧棲區永安里中央路一段108之11號                         </t>
  </si>
  <si>
    <t>L50108073370008</t>
  </si>
  <si>
    <t>臺中市友愛協進會關懷老人活動</t>
  </si>
  <si>
    <t>800050F3</t>
  </si>
  <si>
    <t xml:space="preserve">臺中市友愛協進會                                                        </t>
  </si>
  <si>
    <t xml:space="preserve">臺中市梧棲區建國南街15巷24號                                  </t>
  </si>
  <si>
    <t>L50108073370009</t>
  </si>
  <si>
    <t>頂寮社區協會績優社區觀摩活動</t>
  </si>
  <si>
    <t xml:space="preserve">臺中市梧棲區頂寮社區發展協會                                            </t>
  </si>
  <si>
    <t xml:space="preserve">台中市梧棲區八德東路100號                                     </t>
  </si>
  <si>
    <t>L50108073370011</t>
  </si>
  <si>
    <t>草湳社區關懷社區老人健康促進活</t>
  </si>
  <si>
    <t xml:space="preserve">臺中市梧棲區草湳社區發展協會                                            </t>
  </si>
  <si>
    <t xml:space="preserve">臺中市梧棲區自強二街61號                                      </t>
  </si>
  <si>
    <t>L50108073370012</t>
  </si>
  <si>
    <t>龍港國小107學年度學習成發會</t>
  </si>
  <si>
    <t>800050A4</t>
  </si>
  <si>
    <t xml:space="preserve">臺中市龍井區龍港國民小學保管款專戶                                      </t>
  </si>
  <si>
    <t xml:space="preserve">臺中市龍井區麗水里三港路一號                                  </t>
  </si>
  <si>
    <t>L50108073370013</t>
  </si>
  <si>
    <t>頂草湳成長教室班馬沙溝社區交流</t>
  </si>
  <si>
    <t>L50108073370014</t>
  </si>
  <si>
    <t>梧南國小第50屆畢業感恩季活動</t>
  </si>
  <si>
    <t xml:space="preserve">臺中市梧棲區梧南國民小學                                                </t>
  </si>
  <si>
    <t xml:space="preserve">臺中市梧棲區文化路一段６號                                    </t>
  </si>
  <si>
    <t>L50108073370016</t>
  </si>
  <si>
    <t>太極養生拳路推廣協會拳路研習</t>
  </si>
  <si>
    <t xml:space="preserve">臺中市梧棲區太極養生拳路推廣協會                                        </t>
  </si>
  <si>
    <t xml:space="preserve">台中市梧棲區居仁街320巷33號                                   </t>
  </si>
  <si>
    <t>L50108073370017</t>
  </si>
  <si>
    <t>永安社區協會績優社區交流活動</t>
  </si>
  <si>
    <t xml:space="preserve">臺中市梧棲區永安社區發展協會                                            </t>
  </si>
  <si>
    <t xml:space="preserve">臺中市梧棲區永安里中央路一段110號之3                          </t>
  </si>
  <si>
    <t>L50108073370018</t>
  </si>
  <si>
    <t>維善關懷協會關懷心溫暖情活動</t>
  </si>
  <si>
    <t xml:space="preserve">臺中市梧棲區維善關懷協會                                                </t>
  </si>
  <si>
    <t xml:space="preserve">臺中市梧棲區大庄里文昌路611巷30號                             </t>
  </si>
  <si>
    <t>L50108073370019</t>
  </si>
  <si>
    <t>麗水環保志工第二小隊生態觀摩</t>
  </si>
  <si>
    <t>L50108073370021</t>
  </si>
  <si>
    <t>中市漁船民互助協會漁民節活動</t>
  </si>
  <si>
    <t xml:space="preserve">臺中市漁船及漁民互助協會                                                </t>
  </si>
  <si>
    <t xml:space="preserve">臺中市清水區北堤路28號                                        </t>
  </si>
  <si>
    <t>L60</t>
  </si>
  <si>
    <t>南區營業處　　　　　　　　　　　　　　　</t>
  </si>
  <si>
    <t>L60108063370026</t>
  </si>
  <si>
    <t>彰化三條社區慶端午暨節能減碳</t>
  </si>
  <si>
    <t>8000L60H1</t>
  </si>
  <si>
    <t>0H</t>
  </si>
  <si>
    <t xml:space="preserve">彰化縣溪州鄉三條社區發展協會　廖清福                                    </t>
  </si>
  <si>
    <t xml:space="preserve">彰化縣溪州鄉三條村南九甲巷３－８號                            </t>
  </si>
  <si>
    <t>L60108073370016</t>
  </si>
  <si>
    <t>臺中清水博愛協會108節能宣導</t>
  </si>
  <si>
    <t xml:space="preserve">臺中市清水區博愛關懷協會                                                </t>
  </si>
  <si>
    <t xml:space="preserve">臺中市清水區中社里中社路97-3號                                </t>
  </si>
  <si>
    <t>L60108073370017</t>
  </si>
  <si>
    <t>橋頭甲南協會生態觀摩暨節能減碳</t>
  </si>
  <si>
    <t xml:space="preserve">高雄市橋頭區甲南社區發展協會                                            </t>
  </si>
  <si>
    <t xml:space="preserve">高雄市橋頭區甲昌路２４９號　　　　　　　　　　　　　　　　　  </t>
  </si>
  <si>
    <t>L70</t>
  </si>
  <si>
    <t>永安液化天然氣廠　　　　　　　　　　　　</t>
  </si>
  <si>
    <t>L70108063370041</t>
  </si>
  <si>
    <t>急難救助永安區永華里王戴梅</t>
  </si>
  <si>
    <t>L70108063370042</t>
  </si>
  <si>
    <t>急難救助永安區永華里余淑芬</t>
  </si>
  <si>
    <t>L70108063370043</t>
  </si>
  <si>
    <t>急難救助永安區永安里吳政利</t>
  </si>
  <si>
    <t>L70108063370044</t>
  </si>
  <si>
    <t>急難救助永安區永安里柳靖夫</t>
  </si>
  <si>
    <t>L70108063370045</t>
  </si>
  <si>
    <t>急難救助永安區永華里陳同興</t>
  </si>
  <si>
    <t>L70108063370046</t>
  </si>
  <si>
    <t>急難救助永安區永安里陳蘇寶貴</t>
  </si>
  <si>
    <t>L70108063370047</t>
  </si>
  <si>
    <t>急難救助茄萣區嘉賜里黃坤生</t>
  </si>
  <si>
    <t>L70108063370048</t>
  </si>
  <si>
    <t>急難救助彌陀區彌陀里林忠雄</t>
  </si>
  <si>
    <t>L70108063370049</t>
  </si>
  <si>
    <t>急難救助彌陀區彌靖里葉志成</t>
  </si>
  <si>
    <t>L70108073370007</t>
  </si>
  <si>
    <t>維新社區辦理會員交流活動</t>
  </si>
  <si>
    <t>800000H162994197</t>
  </si>
  <si>
    <t xml:space="preserve">高雄市永安區維新社區發展協會                                            </t>
  </si>
  <si>
    <t xml:space="preserve">高雄市永安區維新里維新路光明９巷６６號　　　　　　　　　　　  </t>
  </si>
  <si>
    <t>L70108073370008</t>
  </si>
  <si>
    <t>後鄉社區辦理長輩文化觀摩活動</t>
  </si>
  <si>
    <t>800000F314296216</t>
  </si>
  <si>
    <t xml:space="preserve">高雄市路竹區後鄉社區發展協會                                            </t>
  </si>
  <si>
    <t xml:space="preserve">高雄市路竹區後鄉里順安路１８９巷１３號　　　　　　　　　　　  </t>
  </si>
  <si>
    <t>L70108073370009</t>
  </si>
  <si>
    <t>嘉賜社區辦理電力知性之旅活動</t>
  </si>
  <si>
    <t>800000H109045886</t>
  </si>
  <si>
    <t xml:space="preserve">高雄市茄萣區嘉賜社區發展協會                                            </t>
  </si>
  <si>
    <t xml:space="preserve">高雄市茄萣區進學路１１２號　　　　　　　　　　　　　　　　　  </t>
  </si>
  <si>
    <t>L70108073370010</t>
  </si>
  <si>
    <t>A1</t>
  </si>
  <si>
    <t>茄萣國中辦理畢業典禮活動</t>
  </si>
  <si>
    <t>800000A188501423</t>
  </si>
  <si>
    <t xml:space="preserve">高雄市立茄萣國民中學                                                    </t>
  </si>
  <si>
    <t xml:space="preserve">高雄市茄萣區濱海路四段２９號　　　　　　　　　　　　　　　　  </t>
  </si>
  <si>
    <t>L70108073370011</t>
  </si>
  <si>
    <t>彌陀國中辦理44屆畢業典禮活動</t>
  </si>
  <si>
    <t>800000A185737966</t>
  </si>
  <si>
    <t xml:space="preserve">高雄市立彌陀國民中學                                                    </t>
  </si>
  <si>
    <t xml:space="preserve">高雄市彌陀區海尾里進學路１３６號　　　　　　　　　　　　　　  </t>
  </si>
  <si>
    <t>L70108073370012</t>
  </si>
  <si>
    <t>新港國小辦理畢業典禮活動</t>
  </si>
  <si>
    <t>800000A120260448</t>
  </si>
  <si>
    <t xml:space="preserve">高雄市永安區新港國民小學                                                </t>
  </si>
  <si>
    <t xml:space="preserve">高雄市永安區新港里新興路２５號　　　　　　　　　　　　　　　  </t>
  </si>
  <si>
    <t>L70108073370013</t>
  </si>
  <si>
    <t>永安國中辦理畢業典禮活動</t>
  </si>
  <si>
    <t>800000A178935483</t>
  </si>
  <si>
    <t xml:space="preserve">高雄市立永安國民中學                                                    </t>
  </si>
  <si>
    <t xml:space="preserve">高雄市永安區保寧里保興１路３號　　　　　　　　　　　　　　　  </t>
  </si>
  <si>
    <t>L70108073370014</t>
  </si>
  <si>
    <t>永安國中辦理39週年校慶運動會</t>
  </si>
  <si>
    <t>L70108073370015</t>
  </si>
  <si>
    <t>漯底社區辦理慶端午節活動</t>
  </si>
  <si>
    <t>800000G162981144</t>
  </si>
  <si>
    <t xml:space="preserve">高雄市彌陀區漯底社區發展協會                                            </t>
  </si>
  <si>
    <t xml:space="preserve">高雄市彌陀區漯底里樂安路廟巷１４號　　　　　　　　　　　　　  </t>
  </si>
  <si>
    <t>L70108073370016</t>
  </si>
  <si>
    <t>保寧社區辦理關懷弱勢活動</t>
  </si>
  <si>
    <t>800000F378941990</t>
  </si>
  <si>
    <t xml:space="preserve">高雄市永安區保寧社區發展協會                                            </t>
  </si>
  <si>
    <t xml:space="preserve">高雄市永安區保寧里保安路１６巷２－１號　　　　　　　　　　　  </t>
  </si>
  <si>
    <t>L70108073370017</t>
  </si>
  <si>
    <t>保寧社區辦理慶祝端午節活動</t>
  </si>
  <si>
    <t>800000G178941990</t>
  </si>
  <si>
    <t>L70108073370018</t>
  </si>
  <si>
    <t>永安國小辦理畢業典禮活動</t>
  </si>
  <si>
    <t>800000A178941020</t>
  </si>
  <si>
    <t xml:space="preserve">高雄市永安區永安國民小學                                                </t>
  </si>
  <si>
    <t xml:space="preserve">高雄市永安區永華路４９號　　　　　　　　　　　　　　　　　　  </t>
  </si>
  <si>
    <t>L70108073370019</t>
  </si>
  <si>
    <t>彌陀區漁會辦理包粽關懷弱勢活動</t>
  </si>
  <si>
    <t>800000G188230702</t>
  </si>
  <si>
    <t xml:space="preserve">高雄市彌陀區漁會                                                        </t>
  </si>
  <si>
    <t xml:space="preserve">高雄市彌陀區南寮里漁港一街６０號　　　　　　　　　　　　　　  </t>
  </si>
  <si>
    <t>L70108073370020</t>
  </si>
  <si>
    <t>彌陀國小辦理畢業典禮活動</t>
  </si>
  <si>
    <t>800000A187898832</t>
  </si>
  <si>
    <t xml:space="preserve">高雄市彌陀區彌陀國民小學                                                </t>
  </si>
  <si>
    <t xml:space="preserve">高雄市彌陀區中正路２１３號　　　　　　　　　　　　　　　　　  </t>
  </si>
  <si>
    <t>L70108073370021</t>
  </si>
  <si>
    <t>永安區農會辦理粽葉飄香活動</t>
  </si>
  <si>
    <t>800000G188500402</t>
  </si>
  <si>
    <t xml:space="preserve">高雄市永安區農會                                                        </t>
  </si>
  <si>
    <t xml:space="preserve">高雄市永安區永安路３４號　　　　　　　　　　　　　　　　　　  </t>
  </si>
  <si>
    <t>L70108073370022</t>
  </si>
  <si>
    <t>新港社區辦理老人健康講座活動</t>
  </si>
  <si>
    <t>800000JF78935688</t>
  </si>
  <si>
    <t xml:space="preserve">高雄市永安區新港社區發展協會                                            </t>
  </si>
  <si>
    <t xml:space="preserve">高雄市永安區新興路１６８號　　　　　　　　　　　　　　　　　  </t>
  </si>
  <si>
    <t>L70108073370023</t>
  </si>
  <si>
    <t>新港社區辦理慶祝端午節活動</t>
  </si>
  <si>
    <t>800000G178935688</t>
  </si>
  <si>
    <t>L70108073370025</t>
  </si>
  <si>
    <t>光定社區辦理社區營造環保活動</t>
  </si>
  <si>
    <t>800000H109058397</t>
  </si>
  <si>
    <t xml:space="preserve">高雄市茄萣區光定社區發展協會                                            </t>
  </si>
  <si>
    <t xml:space="preserve">高雄市茄萣區光定里茄萣路１段１３６巷２號　　　　　　　　　　  </t>
  </si>
  <si>
    <t>L70108073370026</t>
  </si>
  <si>
    <t xml:space="preserve">付款失敗    </t>
  </si>
  <si>
    <t>茄萣區吉定社區辦理社區環保觀摩</t>
  </si>
  <si>
    <t>800000H197956156</t>
  </si>
  <si>
    <t xml:space="preserve">高雄市茄萣區吉定社區發展協會                                            </t>
  </si>
  <si>
    <t xml:space="preserve">高雄市茄萣區忠孝街７巷１６號　　　　　　　　　　　　　　　　  </t>
  </si>
  <si>
    <t>L70108073370027</t>
  </si>
  <si>
    <t>茄萣體育會辦理鐵馬逍遙遊活動</t>
  </si>
  <si>
    <t>800000H125895568</t>
  </si>
  <si>
    <t xml:space="preserve">高雄市茄萣體育會                                                        </t>
  </si>
  <si>
    <t xml:space="preserve">高雄市茄萣區白砂路２０７號　　　　　　　　　　　　　　　　　  </t>
  </si>
  <si>
    <t>L70108073370028</t>
  </si>
  <si>
    <t>華山長壽會辦理端午節健行活動</t>
  </si>
  <si>
    <t>800000F325892295</t>
  </si>
  <si>
    <t xml:space="preserve">高雄市路竹華山長壽協會                                                  </t>
  </si>
  <si>
    <t xml:space="preserve">高雄市路竹區竹滬里成功路34號                                  </t>
  </si>
  <si>
    <t>L70108073370029</t>
  </si>
  <si>
    <t>茄萣婦女工作協會辦理端午節活動</t>
  </si>
  <si>
    <t>800000F336626909</t>
  </si>
  <si>
    <t xml:space="preserve">高雄市茄萣婦女工作協會                                                  </t>
  </si>
  <si>
    <t xml:space="preserve">高雄市茄萣區嘉安里仁愛路３段５６巷１５號　　　　　　　　　　  </t>
  </si>
  <si>
    <t>L70108073370030</t>
  </si>
  <si>
    <t>新港老人長壽會辦理端午節活動</t>
  </si>
  <si>
    <t>800000F320248445</t>
  </si>
  <si>
    <t xml:space="preserve">高雄市永安新港老人長壽協進會                                            </t>
  </si>
  <si>
    <t xml:space="preserve">高雄市永安區新港里新興路１５６號　　　　　　　　　　　　　　  </t>
  </si>
  <si>
    <t>L70108073370031</t>
  </si>
  <si>
    <t>永安婦女會辦理成長交流研習活動</t>
  </si>
  <si>
    <t>800000H197940520</t>
  </si>
  <si>
    <t xml:space="preserve">大高雄永安婦女會                                                        </t>
  </si>
  <si>
    <t xml:space="preserve">高雄市永安區新華路６０１－１號　　　　　　　　　　　　　　　  </t>
  </si>
  <si>
    <t>L70108073370032</t>
  </si>
  <si>
    <t>代安宮慈善會辦理民俗文化活動</t>
  </si>
  <si>
    <t>800000G182701402</t>
  </si>
  <si>
    <t xml:space="preserve">高雄市永安代安宮封千歲慈善會                                            </t>
  </si>
  <si>
    <t xml:space="preserve">高雄市永安區維新里保安路６巷１０３號　　　　　　　　　　　　  </t>
  </si>
  <si>
    <t>L70108073370033</t>
  </si>
  <si>
    <t>和協社區辦理生態環境觀摩活動</t>
  </si>
  <si>
    <t>800000H109058495</t>
  </si>
  <si>
    <t xml:space="preserve">高雄市茄萣區和協社區發展協會                                            </t>
  </si>
  <si>
    <t xml:space="preserve">高雄市茄萣區和協里港埔二街１１３號　　　　　　　　　　　　　  </t>
  </si>
  <si>
    <t>L70108073370034</t>
  </si>
  <si>
    <t>海巡署南部分署辦理屋頂防漏計畫</t>
  </si>
  <si>
    <t>800000MX70995402</t>
  </si>
  <si>
    <t xml:space="preserve">海洋委員會海巡署南部分署                                                </t>
  </si>
  <si>
    <t xml:space="preserve">高雄市茄萣區正遠路１號　　　　　　　　　　　　　　　　　　　  </t>
  </si>
  <si>
    <t>L70108073370035</t>
  </si>
  <si>
    <t>壽齡國小辦理畢業典禮活動</t>
  </si>
  <si>
    <t>800000A176983213</t>
  </si>
  <si>
    <t xml:space="preserve">高雄市彌陀區壽齡國民小學                                                </t>
  </si>
  <si>
    <t xml:space="preserve">高雄市彌陀區文安里國校路１號　　　　　　　　　　　　　　　　  </t>
  </si>
  <si>
    <t>L70108073370036</t>
  </si>
  <si>
    <t>南安國小辦理畢業典禮活動</t>
  </si>
  <si>
    <t>800000A178941680</t>
  </si>
  <si>
    <t xml:space="preserve">高雄市彌陀區南安國民小學                                                </t>
  </si>
  <si>
    <t xml:space="preserve">高雄市彌陀區樂安路一號　　　　　　　　　　　　　　　　　　　  </t>
  </si>
  <si>
    <t>L70108073370038</t>
  </si>
  <si>
    <t>A2</t>
  </si>
  <si>
    <t>維新國小辦理畢業典禮活動</t>
  </si>
  <si>
    <t>800000A276983086</t>
  </si>
  <si>
    <t xml:space="preserve">高雄市永安區維新國民小學                                                </t>
  </si>
  <si>
    <t xml:space="preserve">高雄市永安區維新路光明９巷６９之１０號　　　　　　　　　　　  </t>
  </si>
  <si>
    <t>L70108073370039</t>
  </si>
  <si>
    <t>保寧社區辦理社區住戶參訪活動</t>
  </si>
  <si>
    <t>800000H178941990</t>
  </si>
  <si>
    <t>L70108073370040</t>
  </si>
  <si>
    <t>永華社區辦理巡守隊教育訓練活動</t>
  </si>
  <si>
    <t>800000H178941422</t>
  </si>
  <si>
    <t xml:space="preserve">高雄市永安區永華社區發展協會                                            </t>
  </si>
  <si>
    <t xml:space="preserve">高雄市永安區永達路一巷24-6號                                  </t>
  </si>
  <si>
    <t>L70108073370042</t>
  </si>
  <si>
    <t>急難救助永安區永安里李文彧</t>
  </si>
  <si>
    <t>L70108073370043</t>
  </si>
  <si>
    <t>急難救助永安區永安里張博茗</t>
  </si>
  <si>
    <t>L70108073370044</t>
  </si>
  <si>
    <t>急難救助永安區永安里郭清風</t>
  </si>
  <si>
    <t>L70108073370045</t>
  </si>
  <si>
    <t>急難救助永安區永安里劉登山</t>
  </si>
  <si>
    <t>L70108073370046</t>
  </si>
  <si>
    <t>急難救助永安區維新里蔡進興</t>
  </si>
  <si>
    <t>L70108073370047</t>
  </si>
  <si>
    <t>急難救助永安區新港里何武帝</t>
  </si>
  <si>
    <t>L70108073370048</t>
  </si>
  <si>
    <t>急難救助永安區鹽田里邱嫦娥</t>
  </si>
  <si>
    <t>L70108073370049</t>
  </si>
  <si>
    <t>急難救助茄萣區崎漏里林孟勳</t>
  </si>
  <si>
    <t>L70108073370050</t>
  </si>
  <si>
    <t>急難救助彌陀區海尾里宋平市</t>
  </si>
  <si>
    <t>M00</t>
  </si>
  <si>
    <t>煉製事業部　　　　　　　　　　　　　　　</t>
  </si>
  <si>
    <t>M00108073650051</t>
  </si>
  <si>
    <t>捐贈登發國小電腦20台</t>
  </si>
  <si>
    <t>8000M0A2</t>
  </si>
  <si>
    <t>M00108073650052</t>
  </si>
  <si>
    <t>捐贈大路觀國小電腦15台</t>
  </si>
  <si>
    <t>M00108073650053</t>
  </si>
  <si>
    <t>捐贈美濃國小電腦20台</t>
  </si>
  <si>
    <t>M00108063370101</t>
  </si>
  <si>
    <t>大寮後庄社區慶端午節幸福粽香</t>
  </si>
  <si>
    <t>8000M0F1</t>
  </si>
  <si>
    <t xml:space="preserve">高雄市大寮區公所                                                        </t>
  </si>
  <si>
    <t xml:space="preserve">高雄市大寮區永芳里鳳林三路４９２號　　　　　　　　　　　　　  </t>
  </si>
  <si>
    <t>M00108063370119</t>
  </si>
  <si>
    <t>楠梓宏榮里關懷社區老人慶端什</t>
  </si>
  <si>
    <t xml:space="preserve">高雄市楠梓區公所                                                        </t>
  </si>
  <si>
    <t xml:space="preserve">高雄市楠梓區楠梓新路２６４號　　　　　　　　　　　　　　　　  </t>
  </si>
  <si>
    <t>M00108063370125</t>
  </si>
  <si>
    <t>惠楠社區關懷社區老人及睦鄰業宣</t>
  </si>
  <si>
    <t xml:space="preserve">高雄市楠梓區惠楠社區發展協會                                            </t>
  </si>
  <si>
    <t xml:space="preserve">高雄市楠梓區楠梓新路261巷8號                                  </t>
  </si>
  <si>
    <t>M00108063370140</t>
  </si>
  <si>
    <t>楠梓區民防團基本訓練經費</t>
  </si>
  <si>
    <t>8000M0H1</t>
  </si>
  <si>
    <t>M00108063370141</t>
  </si>
  <si>
    <t>中興里關懷社區老人健康活動</t>
  </si>
  <si>
    <t>M00108063370145</t>
  </si>
  <si>
    <t>楠梓區婦女會志工服務知能提升</t>
  </si>
  <si>
    <t xml:space="preserve">高雄市楠梓區婦女會蔡靜慧                                                </t>
  </si>
  <si>
    <t xml:space="preserve">高雄市楠梓區藍昌路７０號　　　　　　　　　　　　　　　　　　  </t>
  </si>
  <si>
    <t>M00108063370146</t>
  </si>
  <si>
    <t>大寮義和社區辦環境衛生宣導活動</t>
  </si>
  <si>
    <t>8000M0J2</t>
  </si>
  <si>
    <t>M00108063370147</t>
  </si>
  <si>
    <t>大寮中庄社區辦區長盃老人槌球賽</t>
  </si>
  <si>
    <t>8000M0JX</t>
  </si>
  <si>
    <t>M00108063370148</t>
  </si>
  <si>
    <t>大寮區公所輔農業災害購空拍機</t>
  </si>
  <si>
    <t>8000M0MX</t>
  </si>
  <si>
    <t>M00108063370149</t>
  </si>
  <si>
    <t>大寮義和社區辦關老慰問弱勢活動</t>
  </si>
  <si>
    <t>8000M0F3</t>
  </si>
  <si>
    <t>M00108063370150</t>
  </si>
  <si>
    <t>大寮社區關弱提升志工服務知能</t>
  </si>
  <si>
    <t>M00108063370151</t>
  </si>
  <si>
    <t>大寮忠義志工服務知能睦鄰活動</t>
  </si>
  <si>
    <t>M00108063370157</t>
  </si>
  <si>
    <t>梓官里務促進會辦關老健康睦宣</t>
  </si>
  <si>
    <t xml:space="preserve">高雄市梓官里務促進會                                                    </t>
  </si>
  <si>
    <t xml:space="preserve">高雄市梓官區赤崁里赤崁東路５７號　　　　　　　　　　　　　　  </t>
  </si>
  <si>
    <t>M00108073370025</t>
  </si>
  <si>
    <t>楠梓民防分隊戶外技能提升暨睦宣</t>
  </si>
  <si>
    <t xml:space="preserve">符進東楠梓民防分隊                                                      </t>
  </si>
  <si>
    <t xml:space="preserve">高雄市楠梓區土庫五路１５６號　　　　　　　　　　　　　　　　  </t>
  </si>
  <si>
    <t>M00108073370047</t>
  </si>
  <si>
    <t>M1</t>
  </si>
  <si>
    <t>翠屏里活動中心資源回收站遮棚修</t>
  </si>
  <si>
    <t>8000M0M1</t>
  </si>
  <si>
    <t>M00108073370070</t>
  </si>
  <si>
    <t>大寮昭明社區關老與提升知能</t>
  </si>
  <si>
    <t>M00108073370071</t>
  </si>
  <si>
    <t>大寮翁園粽香慶端關懷獨居弱勢</t>
  </si>
  <si>
    <t>M00108073370072</t>
  </si>
  <si>
    <t>大寮翁園社區關老與提升業知睦鄰</t>
  </si>
  <si>
    <t>M00108073370073</t>
  </si>
  <si>
    <t>大寮巡守協進會技能提升活動</t>
  </si>
  <si>
    <t>M00108073370074</t>
  </si>
  <si>
    <t>大寮消防局中庄鳳凰辦救護提升技</t>
  </si>
  <si>
    <t>M00108073370075</t>
  </si>
  <si>
    <t>大寮義勇消防中庄辦防火救災專業</t>
  </si>
  <si>
    <t>M00108073370076</t>
  </si>
  <si>
    <t>大寮江山社區關老及提升戶外養生</t>
  </si>
  <si>
    <t>M00108073370077</t>
  </si>
  <si>
    <t>大寮後庄社區關老及提升服務知能</t>
  </si>
  <si>
    <t>M00108073370085</t>
  </si>
  <si>
    <t>梓官同安協會關懷老人暨睦宣活動</t>
  </si>
  <si>
    <t xml:space="preserve">高雄市梓官區同安社區發展協會                                            </t>
  </si>
  <si>
    <t xml:space="preserve">高雄市梓官區同安路１８３號　　　　　　　　　　　　　　　　　  </t>
  </si>
  <si>
    <t>M00108073370086</t>
  </si>
  <si>
    <t>享平里樂齡老人暨睦鄰業務宣導</t>
  </si>
  <si>
    <t>M00108073370087</t>
  </si>
  <si>
    <t>宏榮里關懷老人健康暨睦宣活動</t>
  </si>
  <si>
    <t>M00108073370088</t>
  </si>
  <si>
    <t>翠屏里關懷社區老人弱勢家庭活動</t>
  </si>
  <si>
    <t xml:space="preserve">社團法人高雄市楠梓區翠屏社區發展協會                                    </t>
  </si>
  <si>
    <t xml:space="preserve">高雄市楠梓區德惠路５５號　　　　　　　　　　　　　　　　　　  </t>
  </si>
  <si>
    <t>M00108073370089</t>
  </si>
  <si>
    <t>梓官大舍協會辦戶外關老及睦宣</t>
  </si>
  <si>
    <t xml:space="preserve">高雄市梓官區大舍社區發展協會                                            </t>
  </si>
  <si>
    <t xml:space="preserve">高雄市梓官區大舍東路公厝巷４號　　　　　　　　　　　　　　　  </t>
  </si>
  <si>
    <t>M00108073370092</t>
  </si>
  <si>
    <t>大寮提升里長區政業務知能暨睦宣</t>
  </si>
  <si>
    <t>M00108073370093</t>
  </si>
  <si>
    <t>大寮溪寮社區關懷老人及戶外養生</t>
  </si>
  <si>
    <t>M00108073370100</t>
  </si>
  <si>
    <t>華山基金會一起愛老人運動會</t>
  </si>
  <si>
    <t xml:space="preserve">財團法人華山社會福利慈善事業基金會                                      </t>
  </si>
  <si>
    <t xml:space="preserve">高雄市楠梓區常德路382號                                       </t>
  </si>
  <si>
    <t>M00108073370101</t>
  </si>
  <si>
    <t>創世基金會愛消防傳平安親子園遊</t>
  </si>
  <si>
    <t xml:space="preserve">財團法人創世社會福利基金會                                              </t>
  </si>
  <si>
    <t xml:space="preserve">高雄市前金區民生二路６０號２樓                                </t>
  </si>
  <si>
    <t>M00108073370135</t>
  </si>
  <si>
    <t>大寮溪寮社區關懷老人戶外養生</t>
  </si>
  <si>
    <t>M00108073370136</t>
  </si>
  <si>
    <t>大寮義和社區辦理維修監視系統</t>
  </si>
  <si>
    <t>M00108073370140</t>
  </si>
  <si>
    <t>楠梓宏毅社區關老弱勢醫療宣導</t>
  </si>
  <si>
    <t xml:space="preserve">高雄市楠梓區宏毅社區發展協會                                            </t>
  </si>
  <si>
    <t xml:space="preserve">高雄市楠梓區宏毅二路北七巷11號                                </t>
  </si>
  <si>
    <t>大林煉油廠　　　　　　　　　　　　　　　</t>
  </si>
  <si>
    <t>M00108043370178</t>
  </si>
  <si>
    <t>鳳林國中空手道校隊訓練活動實施</t>
  </si>
  <si>
    <t>8000M5A476251250</t>
  </si>
  <si>
    <t xml:space="preserve">高雄市立鳳林國民中學保管金專戶                                          </t>
  </si>
  <si>
    <t xml:space="preserve">高雄市小港區鳳興里11鄰龍鳳路559號                             </t>
  </si>
  <si>
    <t>M00108053370122</t>
  </si>
  <si>
    <t>愛護地球珍惜水資源生態觀摩活動</t>
  </si>
  <si>
    <t>8000M5JX10280352</t>
  </si>
  <si>
    <t xml:space="preserve">高雄市義勇消防總隊婦女防火宣導大隊大林分隊                              </t>
  </si>
  <si>
    <t xml:space="preserve">高雄市小港區鳳森里5鄰鳳林路116號3樓                           </t>
  </si>
  <si>
    <t>M00108063370035</t>
  </si>
  <si>
    <t>關懷低收入戶老人暨節能減碳活動</t>
  </si>
  <si>
    <t>8000M5F310280114</t>
  </si>
  <si>
    <t xml:space="preserve">高雄市鳳源長青協會                                                      </t>
  </si>
  <si>
    <t xml:space="preserve">高雄市小港區鳳源里16鄰鳳西街34號                              </t>
  </si>
  <si>
    <t>M00108063370038</t>
  </si>
  <si>
    <t>會員志工戶外健行關懷弱勢活動</t>
  </si>
  <si>
    <t>8000M5F125974747</t>
  </si>
  <si>
    <t xml:space="preserve">高雄市兩輪健身協會                                                      </t>
  </si>
  <si>
    <t xml:space="preserve">高雄市小港區鳳興里12鄰鳳西街15-14號                           </t>
  </si>
  <si>
    <t>M00108063370078</t>
  </si>
  <si>
    <t>理監事幹部聯誼暨宣節能減碳活動</t>
  </si>
  <si>
    <t>8000M5JX92071229</t>
  </si>
  <si>
    <t xml:space="preserve">高雄市小港區港明社區發展協會毛天銓                                      </t>
  </si>
  <si>
    <t xml:space="preserve">高雄市小港區港明里９鄰平和路２４８巷３１號                    </t>
  </si>
  <si>
    <t>M00108063370087</t>
  </si>
  <si>
    <t>端午關懷老人弱勢暨節能減碳活動</t>
  </si>
  <si>
    <t>8000M5F141344958</t>
  </si>
  <si>
    <t xml:space="preserve">高雄市小港區大鳳居民權益關懷協會                                        </t>
  </si>
  <si>
    <t xml:space="preserve">高雄市小港區鳳興里11鄰鳳華路80號之1樓                         </t>
  </si>
  <si>
    <t>M00108063370107</t>
  </si>
  <si>
    <t>關懷社區弱勢老人暨節約用水活動</t>
  </si>
  <si>
    <t>8000M5F174821235</t>
  </si>
  <si>
    <t xml:space="preserve">高雄市燕巢區深水社區發展協會                                            </t>
  </si>
  <si>
    <t xml:space="preserve">高雄市燕巢區深水里15鄰臥牛巷16之10號                          </t>
  </si>
  <si>
    <t>M00108063370112</t>
  </si>
  <si>
    <t>慰勞幹部聯誼暨法令宣導活動</t>
  </si>
  <si>
    <t>8000M5JX25954637</t>
  </si>
  <si>
    <t xml:space="preserve">高雄市小港分局義警中隊                                                  </t>
  </si>
  <si>
    <t xml:space="preserve">高雄市小港區港興里15鄰小港路20號                              </t>
  </si>
  <si>
    <t>M00108063370120</t>
  </si>
  <si>
    <t>會員志工工作研習暨支持中油活動</t>
  </si>
  <si>
    <t>8000M5JC26047331</t>
  </si>
  <si>
    <t xml:space="preserve">高雄市南星登山健行協會                                                  </t>
  </si>
  <si>
    <t xml:space="preserve">高雄市小港區鳳林里10鄰鳳北路195號                             </t>
  </si>
  <si>
    <t>M00108063370127</t>
  </si>
  <si>
    <t>明義國小第14屆畢業典禮活動</t>
  </si>
  <si>
    <t>8000M5A499729501</t>
  </si>
  <si>
    <t xml:space="preserve">高雄市小港區明義國民小學保管金專戶                                      </t>
  </si>
  <si>
    <t xml:space="preserve">高雄市小港區孔宅里9鄰明義街77號                               </t>
  </si>
  <si>
    <t>M00108063370128</t>
  </si>
  <si>
    <t>15屆溫馨盃全國歌唱大賽公益活動</t>
  </si>
  <si>
    <t>8000M5JF08884721</t>
  </si>
  <si>
    <t xml:space="preserve">中華依（ｅ）世代文化研究發展協會                                        </t>
  </si>
  <si>
    <t xml:space="preserve">高雄市新興區德生里28鄰民生一路1號6樓之45                      </t>
  </si>
  <si>
    <t>M00108063370129</t>
  </si>
  <si>
    <t>關懷弱勢粽葉飄香暨中油睦宣活動</t>
  </si>
  <si>
    <t>8000M5F125773663</t>
  </si>
  <si>
    <t xml:space="preserve">大高雄大社婦女會                                                        </t>
  </si>
  <si>
    <t xml:space="preserve">高雄市大社區嘉誠里9鄰水哮巷1號                                </t>
  </si>
  <si>
    <t>M00108063370130</t>
  </si>
  <si>
    <t>慶端午節粽葉飄香暨關懷弱勢活動</t>
  </si>
  <si>
    <t>8000M5F172305749</t>
  </si>
  <si>
    <t xml:space="preserve">高雄市橋頭區環保促進會                                                  </t>
  </si>
  <si>
    <t xml:space="preserve">高雄市橋頭區仕和里24鄰仕豐路神農巷102號                       </t>
  </si>
  <si>
    <t>M00108063370131</t>
  </si>
  <si>
    <t>108年快樂頌健康行健行活動</t>
  </si>
  <si>
    <t>8000M5JX77496578</t>
  </si>
  <si>
    <t xml:space="preserve">高雄市小港區合作社區發展協會                                            </t>
  </si>
  <si>
    <t xml:space="preserve">高雄市小港區合作里11鄰復華路33號                              </t>
  </si>
  <si>
    <t>M00108063370132</t>
  </si>
  <si>
    <t>108年社區里民節能減碳觀摩活動</t>
  </si>
  <si>
    <t>8000M5JX87883893</t>
  </si>
  <si>
    <t xml:space="preserve">高雄市仁武區烏林社區發展協會                                            </t>
  </si>
  <si>
    <t xml:space="preserve">高雄市仁武區烏林里22鄰仁林路224號之2                          </t>
  </si>
  <si>
    <t>M00108063370133</t>
  </si>
  <si>
    <t>幹部隊員及相關人員觀摩學習活動</t>
  </si>
  <si>
    <t>8000M5JX25962334</t>
  </si>
  <si>
    <t xml:space="preserve">高雄市政府警察局義勇警察大隊楠梓中隊楠梓分隊                            </t>
  </si>
  <si>
    <t xml:space="preserve">高雄市楠梓區加昌里34鄰外環路119號                             </t>
  </si>
  <si>
    <t>M00108063370138</t>
  </si>
  <si>
    <t>山東里辦慢跑健行暨節能減碳活動</t>
  </si>
  <si>
    <t>8000M5H108261983</t>
  </si>
  <si>
    <t xml:space="preserve">高雄市小港區公所保管金專戶                                              </t>
  </si>
  <si>
    <t xml:space="preserve">高雄市小港區港南里2鄰小港路158號3樓                           </t>
  </si>
  <si>
    <t>M00108063370139</t>
  </si>
  <si>
    <t>巡守自主防災環保志工聯合活動</t>
  </si>
  <si>
    <t>8000M5JX20255395</t>
  </si>
  <si>
    <t xml:space="preserve">高雄市仁武區中華社區發展協會                                            </t>
  </si>
  <si>
    <t xml:space="preserve">高雄市仁武區中華里３鄰華南街２０號                            </t>
  </si>
  <si>
    <t>M00108063370143</t>
  </si>
  <si>
    <t>隊員志工幹部文化觀摩暨節約活動</t>
  </si>
  <si>
    <t>8000M5JX47628854</t>
  </si>
  <si>
    <t xml:space="preserve">坪頂里社區守望相助隊                                                    </t>
  </si>
  <si>
    <t xml:space="preserve">高雄市小港區坪頂里9鄰高坪26街12之1號                          </t>
  </si>
  <si>
    <t>M00108063370155</t>
  </si>
  <si>
    <t>鳳林居民伍雲龍家火災急難慰問金</t>
  </si>
  <si>
    <t>8000M5D1</t>
  </si>
  <si>
    <t>M00108063370160</t>
  </si>
  <si>
    <t>母親節文康聯誼關懷弱勢節約活動</t>
  </si>
  <si>
    <t>8000M5F310279088</t>
  </si>
  <si>
    <t xml:space="preserve">高雄市鳳林長青快樂協會                                                  </t>
  </si>
  <si>
    <t xml:space="preserve">高雄市小港區鳳林里12鄰鳳林路131號                             </t>
  </si>
  <si>
    <t>M00108063370161</t>
  </si>
  <si>
    <t>鳳陽國小第十四屆畢業典禮活動</t>
  </si>
  <si>
    <t>8000M5A499729495</t>
  </si>
  <si>
    <t xml:space="preserve">高雄市小港區鳳陽國民小學保管金專戶                                      </t>
  </si>
  <si>
    <t xml:space="preserve">高雄市小港區山明里15鄰鳳陽街2號                               </t>
  </si>
  <si>
    <t>M00108063370163</t>
  </si>
  <si>
    <t>全民健行運動暨節能減碳宣導活動</t>
  </si>
  <si>
    <t>8000M5JX18428408</t>
  </si>
  <si>
    <t xml:space="preserve">高雄市小港區小港社區發展協會                                            </t>
  </si>
  <si>
    <t xml:space="preserve">高雄市小港區小港里18鄰臨海新村107號                           </t>
  </si>
  <si>
    <t>M00108063370165</t>
  </si>
  <si>
    <t>會員環保生態教育觀摩暨節能活動</t>
  </si>
  <si>
    <t>8000M5JX26056653</t>
  </si>
  <si>
    <t xml:space="preserve">高雄市消防協會吳文德                                                    </t>
  </si>
  <si>
    <t xml:space="preserve">高雄市小港區正苓里24鄰康莊路178之1號2樓                       </t>
  </si>
  <si>
    <t>M00108073370001</t>
  </si>
  <si>
    <t>端午節粽飄香暨關懷社區老人活動</t>
  </si>
  <si>
    <t>8000M5F177496768</t>
  </si>
  <si>
    <t xml:space="preserve">高雄市小港區中厝社區發展協會                                            </t>
  </si>
  <si>
    <t xml:space="preserve">高雄市小港區中厝里13鄰中安路223之18號                         </t>
  </si>
  <si>
    <t>M00108073370002</t>
  </si>
  <si>
    <t>理監事聯誼會暨節約用油宣導活動</t>
  </si>
  <si>
    <t>8000M5JX77496768</t>
  </si>
  <si>
    <t>M00108073370003</t>
  </si>
  <si>
    <t>大坪里辦國小幼稚園畢業贈紀念品</t>
  </si>
  <si>
    <t>8000M5F108261983</t>
  </si>
  <si>
    <t>M00108073370004</t>
  </si>
  <si>
    <t>漢民國小學第28屆畢業系列動</t>
  </si>
  <si>
    <t>8000M5A477495064</t>
  </si>
  <si>
    <t xml:space="preserve">高雄市小港區漢民國小保管金專戶                                          </t>
  </si>
  <si>
    <t xml:space="preserve">高雄市小港區六苓里7鄰漢民路500號                              </t>
  </si>
  <si>
    <t>M00108073370005</t>
  </si>
  <si>
    <t>青山國小第67屆畢業典禮系列活</t>
  </si>
  <si>
    <t>8000M5A476251287</t>
  </si>
  <si>
    <t xml:space="preserve">高雄市小港區青山國小保管金專戶                                          </t>
  </si>
  <si>
    <t xml:space="preserve">高雄市小港區濟南里19鄰飛機路153號                             </t>
  </si>
  <si>
    <t>M00108073370006</t>
  </si>
  <si>
    <t>松山里志工幹部環保生態觀摩活動</t>
  </si>
  <si>
    <t>8000M5JX08261983</t>
  </si>
  <si>
    <t>M00108073370007</t>
  </si>
  <si>
    <t>青島里辦端午節慶暨節能減碳活動</t>
  </si>
  <si>
    <t>M00108073370019</t>
  </si>
  <si>
    <t>會員志工工作研習暨中油睦業活動</t>
  </si>
  <si>
    <t>8000M5JC38677501</t>
  </si>
  <si>
    <t xml:space="preserve">高雄市閭山玄易門法師協會                                                </t>
  </si>
  <si>
    <t xml:space="preserve">高雄市小港區坪頂里12鄰高坪37路2號                             </t>
  </si>
  <si>
    <t>M00108073370020</t>
  </si>
  <si>
    <t>守望相助隊環保觀摩知性學習活動</t>
  </si>
  <si>
    <t>8000M5JX69807971</t>
  </si>
  <si>
    <t xml:space="preserve">烏林里守望相助隊林文斌                                                  </t>
  </si>
  <si>
    <t xml:space="preserve">高雄市仁武區烏林里2鄰仁林路1鄰153~3號                         </t>
  </si>
  <si>
    <t>M00108073370026</t>
  </si>
  <si>
    <t>環保生態觀摩暨節能減碳宣導活動</t>
  </si>
  <si>
    <t>8000M5JX77495661</t>
  </si>
  <si>
    <t xml:space="preserve">高雄市小港區松金社區發展協會                                            </t>
  </si>
  <si>
    <t xml:space="preserve">高雄市小港區松金里12鄰松金街24號                              </t>
  </si>
  <si>
    <t>M00108073370027</t>
  </si>
  <si>
    <t>港和國小第六屆港和盃排球賽活動</t>
  </si>
  <si>
    <t>8000M5H117002919</t>
  </si>
  <si>
    <t xml:space="preserve">高雄市小港區港和國民小學                                                </t>
  </si>
  <si>
    <t xml:space="preserve">高雄市小港區港南里15鄰平和南路300號                           </t>
  </si>
  <si>
    <t>M00108073370028</t>
  </si>
  <si>
    <t>漢民運動舞蹈體育班畢業展演活動</t>
  </si>
  <si>
    <t>M00108073370031</t>
  </si>
  <si>
    <t>第2學期鳳林直笛團培訓活動</t>
  </si>
  <si>
    <t>8000M5A408262147</t>
  </si>
  <si>
    <t xml:space="preserve">高雄市小港區鳳林國民小學保管金專戶                                      </t>
  </si>
  <si>
    <t xml:space="preserve">高雄市小港區鳳源里11鄰鳳林路207號                             </t>
  </si>
  <si>
    <t>M00108073370036</t>
  </si>
  <si>
    <t>關懷老人生活暨節能減碳宣導活動</t>
  </si>
  <si>
    <t>8000M5F110276765</t>
  </si>
  <si>
    <t xml:space="preserve">高雄市沿海愛鄉協會                                                      </t>
  </si>
  <si>
    <t xml:space="preserve">高雄市小港區鳳源里10鄰鳳林路162號                             </t>
  </si>
  <si>
    <t>M00108073370037</t>
  </si>
  <si>
    <t>幹部志工戶外生態環保宣節能活動</t>
  </si>
  <si>
    <t>8000M5JX00128436</t>
  </si>
  <si>
    <t xml:space="preserve">高雄市小港區活力社區發展協會                                            </t>
  </si>
  <si>
    <t xml:space="preserve">高雄市小港區鳳林里13鄰中心路115號                             </t>
  </si>
  <si>
    <t>M00108073370039</t>
  </si>
  <si>
    <t>會員志工會務研討暨文康聯誼活動</t>
  </si>
  <si>
    <t>8000M5JC26043911</t>
  </si>
  <si>
    <t xml:space="preserve">高雄市沿海環境綠色保護協會                                              </t>
  </si>
  <si>
    <t xml:space="preserve">高雄市小港區鳳林里3鄰鳳林路146號                              </t>
  </si>
  <si>
    <t>M00108073370040</t>
  </si>
  <si>
    <t>環保教育暨節能減碳宣導活動</t>
  </si>
  <si>
    <t>8000M5JX57985248</t>
  </si>
  <si>
    <t xml:space="preserve">高雄市快樂健康促進會                                                    </t>
  </si>
  <si>
    <t xml:space="preserve">高雄市小港區鳳林里2鄰鳳林路132-1號                            </t>
  </si>
  <si>
    <t>M00108073370043</t>
  </si>
  <si>
    <t>隊員生態研習暨環保宣導活動</t>
  </si>
  <si>
    <t>8000M5JX99034973</t>
  </si>
  <si>
    <t xml:space="preserve">高雄市政府警察局小港分局志工中隊大林分隊                                </t>
  </si>
  <si>
    <t xml:space="preserve">高雄市小港區鳳森里5鄰鳳林路116號                              </t>
  </si>
  <si>
    <t>M00108073370065</t>
  </si>
  <si>
    <t>餐旅高中108年畢業典禮親師生</t>
  </si>
  <si>
    <t>8000M5A408864008</t>
  </si>
  <si>
    <t xml:space="preserve">中等學校基金－餐大附中４０１專戶                                        </t>
  </si>
  <si>
    <t xml:space="preserve">高雄市小港區山明里32鄰松和路40號                              </t>
  </si>
  <si>
    <t>M00108073370066</t>
  </si>
  <si>
    <t>社員眷屬環保生態暨節能減碳活動</t>
  </si>
  <si>
    <t>8000M5JX10268028</t>
  </si>
  <si>
    <t xml:space="preserve">高雄市高松登山健行社宋許桂鸞                                            </t>
  </si>
  <si>
    <t xml:space="preserve">高雄市小港區高松里22鄰松興路120號                             </t>
  </si>
  <si>
    <t>M00108073370078</t>
  </si>
  <si>
    <t>廈莊里辦全里老人工作員民俗活動</t>
  </si>
  <si>
    <t>M00108073370079</t>
  </si>
  <si>
    <t>理監事志工幹部聯誼節能減碳活動</t>
  </si>
  <si>
    <t>8000M5JX92072326</t>
  </si>
  <si>
    <t xml:space="preserve">　高雄市小港區松山社區發展協會                                          </t>
  </si>
  <si>
    <t xml:space="preserve">高雄市小港區松山里11鄰松興路67號                              </t>
  </si>
  <si>
    <t>M00108073370081</t>
  </si>
  <si>
    <t>第二學期中油學業成績進步獎勵</t>
  </si>
  <si>
    <t>M00108073370082</t>
  </si>
  <si>
    <t>家長會及志工團期末感恩聯誼活動</t>
  </si>
  <si>
    <t>8000M5JX57989130</t>
  </si>
  <si>
    <t xml:space="preserve">高雄市小港區鳳陽國民小學學生家長委員會梁景傑                            </t>
  </si>
  <si>
    <t>M00108073370083</t>
  </si>
  <si>
    <t>兒童書法研習班活動</t>
  </si>
  <si>
    <t>8000M5F192073562</t>
  </si>
  <si>
    <t xml:space="preserve">高雄市小港區港后社區發展協會                                            </t>
  </si>
  <si>
    <t xml:space="preserve">高雄市小港區港后里7鄰天順街45號                               </t>
  </si>
  <si>
    <t>M00108073370084</t>
  </si>
  <si>
    <t>8000M5JC47636025</t>
  </si>
  <si>
    <t xml:space="preserve">高雄市南星晨運健康協會                                                  </t>
  </si>
  <si>
    <t xml:space="preserve">高雄市小港區鳳源里4 鳳源路33號                                </t>
  </si>
  <si>
    <t>M00108073370091</t>
  </si>
  <si>
    <t>華山國小辦第20屆畢業系列活動</t>
  </si>
  <si>
    <t>8000M5A419898666</t>
  </si>
  <si>
    <t xml:space="preserve">高雄市小港區華山國民小學                                                </t>
  </si>
  <si>
    <t xml:space="preserve">高雄市小港區山明里25鄰華仁街1號                               </t>
  </si>
  <si>
    <t>M00108073370095</t>
  </si>
  <si>
    <t>二苓國小校園環保綠化宣環教活動</t>
  </si>
  <si>
    <t>8000M5A476251168</t>
  </si>
  <si>
    <t xml:space="preserve">高雄市小港區二苓國民小學                                                </t>
  </si>
  <si>
    <t xml:space="preserve">高雄市小港區小港里22鄰 立群路6號                              </t>
  </si>
  <si>
    <t>M00108073370096</t>
  </si>
  <si>
    <t>節能減碳愛護地球節約用油研習會</t>
  </si>
  <si>
    <t>8000M5JC77495493</t>
  </si>
  <si>
    <t xml:space="preserve">社團法人高雄市合德慈善會                                                </t>
  </si>
  <si>
    <t xml:space="preserve">高雄市小港區鳳宮里5鄰宮平街7號                                </t>
  </si>
  <si>
    <t>M00108073370097</t>
  </si>
  <si>
    <t>節能減碳宣導暨生態文康活動</t>
  </si>
  <si>
    <t>8000M5JX10210808</t>
  </si>
  <si>
    <t xml:space="preserve">高雄市小港區山（水＋田）水秀社區發展協會                                </t>
  </si>
  <si>
    <t xml:space="preserve">高雄市小港區山明里8鄰水秀路36號                               </t>
  </si>
  <si>
    <t>M00108073370098</t>
  </si>
  <si>
    <t>孔宅里辦端午節民俗節能減碳活動</t>
  </si>
  <si>
    <t>M00108073370099</t>
  </si>
  <si>
    <t>中厝里辦慶端午節暨環保宣導活動</t>
  </si>
  <si>
    <t>M00108073370102</t>
  </si>
  <si>
    <t>環保宣導暨節約用油宣導活動</t>
  </si>
  <si>
    <t>8000M5JX26084264</t>
  </si>
  <si>
    <t xml:space="preserve">高雄市政府所轄機關工會總工會                                            </t>
  </si>
  <si>
    <t xml:space="preserve">高雄市新興區德望里10鄰中正三路25號8樓                         </t>
  </si>
  <si>
    <t>M00108073370103</t>
  </si>
  <si>
    <t>會員環保訓練暨珍惜能源宣導活動</t>
  </si>
  <si>
    <t>8000M5JX17013710</t>
  </si>
  <si>
    <t xml:space="preserve">高雄巿政府經濟發展局工會                                                </t>
  </si>
  <si>
    <t xml:space="preserve">高雄巿苓雅區明朗里5鄰四維三路2號9樓                           </t>
  </si>
  <si>
    <t>M00108073370105</t>
  </si>
  <si>
    <t>108年會員聯誼節能減碳宣導活動</t>
  </si>
  <si>
    <t>8000M5JC47716060</t>
  </si>
  <si>
    <t xml:space="preserve">高雄市車鼓藝陣協會洪進諒                                                </t>
  </si>
  <si>
    <t xml:space="preserve">高雄市小港區六苓里6鄰漢民路673之1號                           </t>
  </si>
  <si>
    <t>M00108073370107</t>
  </si>
  <si>
    <t>108年高雄有愛千人捐血活動</t>
  </si>
  <si>
    <t>8000M5JC98769390</t>
  </si>
  <si>
    <t xml:space="preserve">高雄市血緣捐血協會                                                      </t>
  </si>
  <si>
    <t xml:space="preserve">高雄市小港區桂林里19鄰桂華街345號                             </t>
  </si>
  <si>
    <t>M00108073370113</t>
  </si>
  <si>
    <t>鳳鳴國小學年第58屆畢業典禮</t>
  </si>
  <si>
    <t>8000M5A476249754</t>
  </si>
  <si>
    <t xml:space="preserve">高雄市小港區鳳鳴國民小學保管金專戶                                      </t>
  </si>
  <si>
    <t xml:space="preserve">高雄市小港區龍鳳里17鄰鳳鳴路191號                             </t>
  </si>
  <si>
    <t>M00108073370115</t>
  </si>
  <si>
    <t>會員生態環保研習暨中油業宣活動</t>
  </si>
  <si>
    <t>8000M5JC18417508</t>
  </si>
  <si>
    <t xml:space="preserve">高雄市沿海海域生態維護協會                                              </t>
  </si>
  <si>
    <t xml:space="preserve">高雄市小港區龍鳳里26鄰龍門街182巷10號                         </t>
  </si>
  <si>
    <t>M00108073370118</t>
  </si>
  <si>
    <t>關懷老人暨節約用油宣導活動</t>
  </si>
  <si>
    <t>8000M5F357933586</t>
  </si>
  <si>
    <t xml:space="preserve">高雄市龍鳳長青敬老協會                                                  </t>
  </si>
  <si>
    <t xml:space="preserve">高雄市小港區龍鳳里25鄰岐山一路22號                            </t>
  </si>
  <si>
    <t>M00108073370122</t>
  </si>
  <si>
    <t>幹部會員關懷社區老人暨節能活動</t>
  </si>
  <si>
    <t>8000M5F199165236</t>
  </si>
  <si>
    <t xml:space="preserve">高雄市環境保護協會                                                      </t>
  </si>
  <si>
    <t xml:space="preserve">高雄市小港區鳳鳴里8鄰丹山二路83號之3                          </t>
  </si>
  <si>
    <t>M00108073370131</t>
  </si>
  <si>
    <t>維護海洋資源研習暨節約用油活動</t>
  </si>
  <si>
    <t>8000M5JX18428580</t>
  </si>
  <si>
    <t xml:space="preserve">高雄市漁民港務促進會                                                    </t>
  </si>
  <si>
    <t xml:space="preserve">高雄市小港區龍鳳里8鄰朝鳳街111巷82號                          </t>
  </si>
  <si>
    <t>M00108073370133</t>
  </si>
  <si>
    <t>慶祝端午節暨節約用油宣導活動</t>
  </si>
  <si>
    <t>8000M5F392065417</t>
  </si>
  <si>
    <t xml:space="preserve">高雄市沿海敬老協會                                                      </t>
  </si>
  <si>
    <t xml:space="preserve">高雄市小港區鳳鳴里9鄰丹二路95-2號                             </t>
  </si>
  <si>
    <t>M00108073370143</t>
  </si>
  <si>
    <t>108年表揚優秀漁民暨民俗系列活</t>
  </si>
  <si>
    <t>8000M5F185502308</t>
  </si>
  <si>
    <t xml:space="preserve">高雄市小港區漁會                                                        </t>
  </si>
  <si>
    <t xml:space="preserve">高雄市小港區鳳宮里10鄰光和路100號                             </t>
  </si>
  <si>
    <t>M00108073370160</t>
  </si>
  <si>
    <t>IX</t>
  </si>
  <si>
    <t>108年7月份五億孳息款</t>
  </si>
  <si>
    <t>8000M5IX92086525</t>
  </si>
  <si>
    <t xml:space="preserve">高雄市小港區沿海６里公益基金孳息管理委員會                              </t>
  </si>
  <si>
    <t xml:space="preserve">高雄市小港區鳳森里4鄰鳳林路8巷3號之3                          </t>
  </si>
  <si>
    <t>M70</t>
  </si>
  <si>
    <t>桃園煉油廠　　　　　　　　　　　　　　　</t>
  </si>
  <si>
    <t>M70108063370036</t>
  </si>
  <si>
    <t>沙崙社區辦理守望相助節水電宣導</t>
  </si>
  <si>
    <t>800000H149995855</t>
  </si>
  <si>
    <t xml:space="preserve">桃園市大園區沙崙社區發展協會                                            </t>
  </si>
  <si>
    <t xml:space="preserve">桃園市大園區沙崙里５鄰西濱路１段１０７９巷４９號　　　　　　  </t>
  </si>
  <si>
    <t>M70108073370007</t>
  </si>
  <si>
    <t>汴洲社區辦理KTV歌唱比賽</t>
  </si>
  <si>
    <t>800000H178525777</t>
  </si>
  <si>
    <t xml:space="preserve">桃園市桃園區汴洲社區發展協會                                            </t>
  </si>
  <si>
    <t xml:space="preserve">桃園市桃園區峨嵋二街２６號　　　　　　　　　　　　　　　　　  </t>
  </si>
  <si>
    <t>M70108073370008</t>
  </si>
  <si>
    <t>汴洲社區辦理理監事志工服務活動</t>
  </si>
  <si>
    <t>M70108073370010</t>
  </si>
  <si>
    <t>桃園區漁會辦理一支釣比賽活動</t>
  </si>
  <si>
    <t>800000H198228698</t>
  </si>
  <si>
    <t xml:space="preserve">桃園區漁會                                                              </t>
  </si>
  <si>
    <t xml:space="preserve">桃園市大園區沙崙里１８鄰漁港路３５３巷１７６號　　　　　　　  </t>
  </si>
  <si>
    <t>M70108073370011</t>
  </si>
  <si>
    <t>海口社區辦理歡樂慶端午活動</t>
  </si>
  <si>
    <t>800000G130113939</t>
  </si>
  <si>
    <t xml:space="preserve">桃園市大園區海口社區發展協會                                            </t>
  </si>
  <si>
    <t xml:space="preserve">桃園市大園區海口里４鄰漁港路１５號　　　　　　　　　　　　　  </t>
  </si>
  <si>
    <t>M70108073370012</t>
  </si>
  <si>
    <t>后厝社區辦理守望相助隊業務交流</t>
  </si>
  <si>
    <t>800000H198636456</t>
  </si>
  <si>
    <t xml:space="preserve">桃園市大園區后厝社區發展協會                                            </t>
  </si>
  <si>
    <t xml:space="preserve">桃園市大園區後厝里１１鄰８－１號　　　　　　　　　　　　　　  </t>
  </si>
  <si>
    <t>M70108073370013</t>
  </si>
  <si>
    <t>大園區公所辦理租佃調解業務交流</t>
  </si>
  <si>
    <t>800000H143501200</t>
  </si>
  <si>
    <t xml:space="preserve">桃園市大園區公所保管金專戶                                              </t>
  </si>
  <si>
    <t xml:space="preserve">桃園市復興區澤仁村中正路２０號　　　　　　　　　　　　　　　  </t>
  </si>
  <si>
    <t>M70108073370014</t>
  </si>
  <si>
    <t>后厝社區辦理優良社區交流活動</t>
  </si>
  <si>
    <t>M70108073370015</t>
  </si>
  <si>
    <t>KW</t>
  </si>
  <si>
    <t>健康樂活協會辦理福山植物園體驗</t>
  </si>
  <si>
    <t>800000F341485507</t>
  </si>
  <si>
    <t xml:space="preserve">桃園市蘆竹健康樂活協會                                                  </t>
  </si>
  <si>
    <t xml:space="preserve">桃園市蘆竹區中山路８－２號４樓　　　　　　　　　　　　　　　  </t>
  </si>
  <si>
    <t>M70108073370016</t>
  </si>
  <si>
    <t>汴洲社區辦理太鼓民俗教學活動</t>
  </si>
  <si>
    <t>M70108073370017</t>
  </si>
  <si>
    <t>南上社區辦理關懷長者弱勢家庭</t>
  </si>
  <si>
    <t>800000F330249056</t>
  </si>
  <si>
    <t xml:space="preserve">桃園市龜山區南上社區發展協會                                            </t>
  </si>
  <si>
    <t xml:space="preserve">桃園市龜山區南上里民生北路一段８１－１號　　　　　　　　　　  </t>
  </si>
  <si>
    <t>M70108073370018</t>
  </si>
  <si>
    <t>沙崙社區辦理績優社區活動</t>
  </si>
  <si>
    <t>M70108073370019</t>
  </si>
  <si>
    <t>汴洲社區辦理社區歌唱班教學</t>
  </si>
  <si>
    <t>M70108073370029</t>
  </si>
  <si>
    <t>蘆竹老人會辦理文化產業參訪活動</t>
  </si>
  <si>
    <t>800000F319991868</t>
  </si>
  <si>
    <t xml:space="preserve">桃園市蘆竹區老人會                                                      </t>
  </si>
  <si>
    <t xml:space="preserve">桃園市蘆竹區五福里五福一路２３９號　　　　　　　　　　　　　  </t>
  </si>
  <si>
    <t>M70108073370030</t>
  </si>
  <si>
    <t>汴洲里里民余得安急難救助金</t>
  </si>
  <si>
    <t>800000D143504109</t>
  </si>
  <si>
    <t xml:space="preserve">余得安                                                                  </t>
  </si>
  <si>
    <t xml:space="preserve">桃園縣桃園市縣府路七號　　　　　　　　　　　　　　　　　　　  </t>
  </si>
  <si>
    <t>M70108073370031</t>
  </si>
  <si>
    <t>和馨婦女協會辦理老人交通安全</t>
  </si>
  <si>
    <t>800000F331466116</t>
  </si>
  <si>
    <t xml:space="preserve">桃園市和馨婦女文化協會                                                  </t>
  </si>
  <si>
    <t xml:space="preserve">桃園區延壽街１２１－８號　　　　　　　　　　　　　　　　　　  </t>
  </si>
  <si>
    <t>M70108073370032</t>
  </si>
  <si>
    <t>汴洲社區辦理環保淨山睦鄰宣導</t>
  </si>
  <si>
    <t>M70108073370033</t>
  </si>
  <si>
    <t>CV</t>
  </si>
  <si>
    <t>後厝里辦理預防登革熱環境整理</t>
  </si>
  <si>
    <t>800000J343501200</t>
  </si>
  <si>
    <t>J3</t>
  </si>
  <si>
    <t>R00</t>
  </si>
  <si>
    <t>液化石油氣事業部　　　　　　　　　　　　</t>
  </si>
  <si>
    <t>R00108063370017</t>
  </si>
  <si>
    <t>F4</t>
  </si>
  <si>
    <t>深澳社區慶端午送愛心粽活動</t>
  </si>
  <si>
    <t>800000F4</t>
  </si>
  <si>
    <t xml:space="preserve">新北市瑞芳區深澳社區發展協會                                            </t>
  </si>
  <si>
    <t xml:space="preserve">新北市瑞芳區深澳路181號                                       </t>
  </si>
  <si>
    <t>R00108073370001</t>
  </si>
  <si>
    <t>瑞芳區公所歌唱爭霸賽活動</t>
  </si>
  <si>
    <t xml:space="preserve">新北市瑞芳區公所                                                        </t>
  </si>
  <si>
    <t xml:space="preserve">新北市瑞芳區逢甲路82號                                        </t>
  </si>
  <si>
    <t>R00108073370002</t>
  </si>
  <si>
    <t>海濱社區守望相助健身暨學習活動</t>
  </si>
  <si>
    <t xml:space="preserve">新北市瑞芳區海濱社區發展協會                                            </t>
  </si>
  <si>
    <t xml:space="preserve">新北市瑞芳區海濱里海濱路17號                                  </t>
  </si>
  <si>
    <t>R00108073370004</t>
  </si>
  <si>
    <t>福壽宮參訪加氣站暨祈安活動</t>
  </si>
  <si>
    <t xml:space="preserve">福壽宮                                                                  </t>
  </si>
  <si>
    <t xml:space="preserve">新北市瑞芳區深澳路67之1號前                                   </t>
  </si>
  <si>
    <t>R00108073370005</t>
  </si>
  <si>
    <t>瑞芳區漁會周年慶農漁推廣活動</t>
  </si>
  <si>
    <t xml:space="preserve">新北市瑞芳區漁會                                                        </t>
  </si>
  <si>
    <t xml:space="preserve">新北市瑞芳區深澳路20號                                        </t>
  </si>
  <si>
    <t>R00108073370013</t>
  </si>
  <si>
    <t>E1</t>
  </si>
  <si>
    <t>三府宮祈安暨關懷低收入戶活動</t>
  </si>
  <si>
    <t xml:space="preserve">磅磅仔三府宮                                                            </t>
  </si>
  <si>
    <t xml:space="preserve">新北市瑞芳區瑞濱里瑞濱路55-2號                                </t>
  </si>
  <si>
    <t>R00108073370014</t>
  </si>
  <si>
    <t>海濱里民王淑華急難救助</t>
  </si>
  <si>
    <t>R00108073370015</t>
  </si>
  <si>
    <t>海濱里民林暐芹急難救助</t>
  </si>
  <si>
    <t>R00108073370016</t>
  </si>
  <si>
    <t>魯班協會巧聖祈福及福利宣導活動</t>
  </si>
  <si>
    <t xml:space="preserve">新北市瑞芳區魯班藝術發展協會                                            </t>
  </si>
  <si>
    <t xml:space="preserve">新北市瑞芳區民權街25巷6-1號                                   </t>
  </si>
  <si>
    <t>R00108073370017</t>
  </si>
  <si>
    <t>松壽福利會節能減碳暨參訪活動</t>
  </si>
  <si>
    <t xml:space="preserve">新北市瑞芳松壽福利互助協會                                              </t>
  </si>
  <si>
    <t xml:space="preserve">新北市瑞芳區深澳里深澳路71號2樓                               </t>
  </si>
  <si>
    <t>R00108073370018</t>
  </si>
  <si>
    <t>瑞濱里民陳偉吉急難救助</t>
  </si>
  <si>
    <t>R00108073370019</t>
  </si>
  <si>
    <t>瑞濱里民林素貞急難救助</t>
  </si>
  <si>
    <t>R00108073370020</t>
  </si>
  <si>
    <t>瑞濱里民徐鐘一急難救助</t>
  </si>
  <si>
    <t>U00</t>
  </si>
  <si>
    <t>石化事業部　　　　　　　　　　　　　　　</t>
  </si>
  <si>
    <t>U00108063370040</t>
  </si>
  <si>
    <t>辦興邦端午節粽香傳愛活動</t>
  </si>
  <si>
    <t>80009AJX08261920</t>
  </si>
  <si>
    <t xml:space="preserve">高雄市前鎮區公所                                                        </t>
  </si>
  <si>
    <t xml:space="preserve">高雄市前鎮區康定路１５１號２樓　　　　　　　　　　　　　　　  </t>
  </si>
  <si>
    <t>U00108063370043</t>
  </si>
  <si>
    <t>西山里辦節能減碳暨文化生態活動</t>
  </si>
  <si>
    <t>U00108063370044</t>
  </si>
  <si>
    <t>振興里辦歡慶母親節活動</t>
  </si>
  <si>
    <t>U00108063370045</t>
  </si>
  <si>
    <t>捐助中門環保志工端午包粽香活動</t>
  </si>
  <si>
    <t>80008KJX82697765</t>
  </si>
  <si>
    <t xml:space="preserve">高雄市林園區中門環保志工協會                                            </t>
  </si>
  <si>
    <t xml:space="preserve">高雄市林園區中門里下厝路63號                                  </t>
  </si>
  <si>
    <t>U00108063370046</t>
  </si>
  <si>
    <t>捐助公益睦鄰促進會粽藝慶端午活</t>
  </si>
  <si>
    <t>80008KJX36956838</t>
  </si>
  <si>
    <t xml:space="preserve">高雄市林園區公益睦鄰促進會                                              </t>
  </si>
  <si>
    <t xml:space="preserve">高雄市林園區林園北路185號                                     </t>
  </si>
  <si>
    <t>U00108063370051</t>
  </si>
  <si>
    <t>80008KMX85504805</t>
  </si>
  <si>
    <t xml:space="preserve">高雄市林園區公所代收款專戶                                              </t>
  </si>
  <si>
    <t xml:space="preserve">高雄市林園區王公里10鄰王公路1號                               </t>
  </si>
  <si>
    <t>U00108063370052</t>
  </si>
  <si>
    <t>捐助仁愛社區協會治安觀摩研習活</t>
  </si>
  <si>
    <t>80008KJX17029375</t>
  </si>
  <si>
    <t xml:space="preserve">高雄市林園區仁愛社區發展協會                                            </t>
  </si>
  <si>
    <t xml:space="preserve">高雄市林園區仁愛里忠義二街70號                                </t>
  </si>
  <si>
    <t>U00108063370053</t>
  </si>
  <si>
    <t>捐興化里蕭天滿里民急難救助金</t>
  </si>
  <si>
    <t>80009AD1</t>
  </si>
  <si>
    <t>捐興化里蔡朝力里民急難救助金</t>
  </si>
  <si>
    <t>U00108063370055</t>
  </si>
  <si>
    <t>捐助林園農會會員聯誼觀摩活動</t>
  </si>
  <si>
    <t>80008KJX85176205</t>
  </si>
  <si>
    <t xml:space="preserve">高雄市林園區農會                                                        </t>
  </si>
  <si>
    <t xml:space="preserve">高雄市林園區忠孝西路47號                                      </t>
  </si>
  <si>
    <t>U00108063370057</t>
  </si>
  <si>
    <t>捐助中芸社區協會節能減碳觀摩活</t>
  </si>
  <si>
    <t>80008KJX17034503</t>
  </si>
  <si>
    <t xml:space="preserve">高雄市林園區中芸社區發展協會                                            </t>
  </si>
  <si>
    <t xml:space="preserve">高雄市林園區中芸里中芸三路25巷25號                            </t>
  </si>
  <si>
    <t>U00108063370058</t>
  </si>
  <si>
    <t>捐助五福環保志工宣導節能減碳活</t>
  </si>
  <si>
    <t>80008KJX47639310</t>
  </si>
  <si>
    <t xml:space="preserve">高雄市林園區五福環保志工協會                                            </t>
  </si>
  <si>
    <t xml:space="preserve">高雄市林園區五福里五福路174巷4號                              </t>
  </si>
  <si>
    <t>U00108063370071</t>
  </si>
  <si>
    <t>捐助北汕里五月五過端午活動</t>
  </si>
  <si>
    <t>80008KJX85504805</t>
  </si>
  <si>
    <t>U00108063370072</t>
  </si>
  <si>
    <t>捐助東汕里節能減碳迎端午活動</t>
  </si>
  <si>
    <t>U00108063370073</t>
  </si>
  <si>
    <t>捐助西溪里慶祝端午節活動</t>
  </si>
  <si>
    <t>U00108063370074</t>
  </si>
  <si>
    <t>捐助五福里端午傳粽香愛鄉活動</t>
  </si>
  <si>
    <t>U00108063370075</t>
  </si>
  <si>
    <t>捐助溪州里關懷弱勢節能省水活動</t>
  </si>
  <si>
    <t>U00108063370077</t>
  </si>
  <si>
    <t>捐助環保文化協會志工生態研習活</t>
  </si>
  <si>
    <t>80008KJX38450883</t>
  </si>
  <si>
    <t xml:space="preserve">高雄市林園區環保文化教育協會                                            </t>
  </si>
  <si>
    <t xml:space="preserve">高雄市林園區五福里沿海路一段79號                              </t>
  </si>
  <si>
    <t>U00108073370005</t>
  </si>
  <si>
    <t>盛興里辦歡慶母親節暨節能減碳活</t>
  </si>
  <si>
    <t>U00108073370006</t>
  </si>
  <si>
    <t>捐助興仁國中畢業典禮活動費</t>
  </si>
  <si>
    <t>80009AA476249516</t>
  </si>
  <si>
    <t xml:space="preserve">高雄市立興仁國民中學保管金專戶                                          </t>
  </si>
  <si>
    <t xml:space="preserve">高雄市前鎮區德昌路３４５路　　　　　　　　　　　　　　　　　  </t>
  </si>
  <si>
    <t>U00108073370008</t>
  </si>
  <si>
    <t>捐興化里李福順里民急難救助</t>
  </si>
  <si>
    <t>U00108073370009</t>
  </si>
  <si>
    <t>辦興化里購置志工團隊裝備費用</t>
  </si>
  <si>
    <t>U00108073370012</t>
  </si>
  <si>
    <t>瑞平里辦節能減碳暨文化生態活動</t>
  </si>
  <si>
    <t>U00108073370014</t>
  </si>
  <si>
    <t>辦鎮東里美綠化環境觀摩宣導活動</t>
  </si>
  <si>
    <t>U00108073370016</t>
  </si>
  <si>
    <t>捐助港嘴里慶端午關懷弱勢活動</t>
  </si>
  <si>
    <t>U00108073370017</t>
  </si>
  <si>
    <t>捐助文賢里慶端午關懷弱勢活動</t>
  </si>
  <si>
    <t>U00108073370018</t>
  </si>
  <si>
    <t>捐助龔厝里端午關懷弱勢活動</t>
  </si>
  <si>
    <t>U00108073370019</t>
  </si>
  <si>
    <t>捐助中厝里粽夏飄香舞端陽活動</t>
  </si>
  <si>
    <t>U00108073370022</t>
  </si>
  <si>
    <t>鎮中里辦慶端午暨節能減碳活動</t>
  </si>
  <si>
    <t>U00108073370023</t>
  </si>
  <si>
    <t>仁愛里辦端午節家戶民俗文化活動</t>
  </si>
  <si>
    <t>U00108073370025</t>
  </si>
  <si>
    <t>草衙里購置巡守隊及志工工作服費</t>
  </si>
  <si>
    <t>U00108073370026</t>
  </si>
  <si>
    <t>捐助溪州社區協會環境清潔活動</t>
  </si>
  <si>
    <t>80008KJ462945210</t>
  </si>
  <si>
    <t xml:space="preserve">高雄市林園區溪州社區發展協會                                            </t>
  </si>
  <si>
    <t xml:space="preserve">高雄市林園區溪州二路57巷62之1號                               </t>
  </si>
  <si>
    <t>U00108073370029</t>
  </si>
  <si>
    <t>捐興仁里黎洪秀盆里民急難救助金</t>
  </si>
  <si>
    <t>捐興化里李燕淑里民急難救助</t>
  </si>
  <si>
    <t>捐興仁里楊一郎里民急難救助金</t>
  </si>
  <si>
    <t>捐興仁里蔡佳璋里民急難救助金</t>
  </si>
  <si>
    <t>U00108073370030</t>
  </si>
  <si>
    <t>林園區東汕里黃百慶急難救助金</t>
  </si>
  <si>
    <t>80008KD1</t>
  </si>
  <si>
    <t>林園區仁愛里黃勝源急難救助金</t>
  </si>
  <si>
    <t>林園區王公里呂梅平急難救助金</t>
  </si>
  <si>
    <t>林園區東林里張梁由急難救助金</t>
  </si>
  <si>
    <t>林園區五福里王文正急難救助金</t>
  </si>
  <si>
    <t>林園區港嘴里黃玉英急難救助金</t>
  </si>
  <si>
    <t>林園區西溪里黃月碧急難救助金</t>
  </si>
  <si>
    <t>林園區中門里郭平源急難救助金</t>
  </si>
  <si>
    <t>U00108073370031</t>
  </si>
  <si>
    <t>捐助潭頭社區協會環保生態研習活</t>
  </si>
  <si>
    <t>80008KJX87884345</t>
  </si>
  <si>
    <t xml:space="preserve">高雄市林園區潭頭社區發展協會                                            </t>
  </si>
  <si>
    <t xml:space="preserve">高雄市林園區潭頭里潭頭路190號                                 </t>
  </si>
  <si>
    <t>U00108073370032</t>
  </si>
  <si>
    <t>捐助頂厝里端午節關懷弱勢活動</t>
  </si>
  <si>
    <t>U00108073370033</t>
  </si>
  <si>
    <t>捐助林內里政令宣導推廣米食活動</t>
  </si>
  <si>
    <t>U00108073370034</t>
  </si>
  <si>
    <t>捐助東林里政令宣導推廣米食活動</t>
  </si>
  <si>
    <t>U00108073370037</t>
  </si>
  <si>
    <t>捐助中門里慶端午關懷弱勢活動</t>
  </si>
  <si>
    <t>U00108073370038</t>
  </si>
  <si>
    <t>林園區廣應里王周美鳳急難救助金</t>
  </si>
  <si>
    <t>林園區中門里曾德進急難救助金</t>
  </si>
  <si>
    <t>林園區中門里王寬裕急難救助金</t>
  </si>
  <si>
    <t>林園區林園里龔國隆急難救助金</t>
  </si>
  <si>
    <t>林園區港埔里黃建霖急難救助金</t>
  </si>
  <si>
    <t>林園區港嘴里黃玉圓急難救助金</t>
  </si>
  <si>
    <t>林園區西溪里何進忠急難救助金</t>
  </si>
  <si>
    <t>林園區西溪里簡尤美雪急難救助金</t>
  </si>
  <si>
    <t>林園區西溪里李萬呈急難救助金</t>
  </si>
  <si>
    <t>林園區仁愛里洪昭銘急難救助金</t>
  </si>
  <si>
    <t>林園區仁愛里詹明德急難救助金</t>
  </si>
  <si>
    <t>林園區仁愛里楊杼芩急難救助金</t>
  </si>
  <si>
    <t>林園區溪州里許閃急難救助金</t>
  </si>
  <si>
    <t>林園區五福里廖宥琮急難救助金</t>
  </si>
  <si>
    <t>U00108073370039</t>
  </si>
  <si>
    <t>辦良和里節能減碳宣導活動</t>
  </si>
  <si>
    <t>U00108073370040</t>
  </si>
  <si>
    <t>辦明義里節能減碳宣導暨自然活動</t>
  </si>
  <si>
    <t>U00108073370041</t>
  </si>
  <si>
    <t>辦竹北里巡守隊暨志工自然生態活</t>
  </si>
  <si>
    <t>U00108073370043</t>
  </si>
  <si>
    <t>捐助中芸里粽夏饗樂慶端午活動</t>
  </si>
  <si>
    <t>U00108073370044</t>
  </si>
  <si>
    <t>捐助林園里慶端午關懷弱勢活動</t>
  </si>
  <si>
    <t>U00108073370045</t>
  </si>
  <si>
    <t>捐助港埔里慶端午暨關懷弱勢活動</t>
  </si>
  <si>
    <t>U00108073370046</t>
  </si>
  <si>
    <t>林園區東林里李岳洲急難救助金</t>
  </si>
  <si>
    <t>林園區北汕里陳怡秀急難救助金</t>
  </si>
  <si>
    <t>林園區西溪里李木池急難救助金</t>
  </si>
  <si>
    <t>林園區頂厝里郭淑芬急難救助金</t>
  </si>
  <si>
    <t>林園區頂厝里張麗花急難救助金</t>
  </si>
  <si>
    <t>林園區東林里洪宏志急難救助金</t>
  </si>
  <si>
    <t>U00108073370048</t>
  </si>
  <si>
    <t>捐助健康關懷救助金</t>
  </si>
  <si>
    <t>80008KF185504805</t>
  </si>
  <si>
    <t>C2</t>
  </si>
  <si>
    <t>捐助6月份液化石油氣提領運費</t>
  </si>
  <si>
    <t>80008KC285504805</t>
  </si>
  <si>
    <t>U00108073370050</t>
  </si>
  <si>
    <t>捐助區公所傳統龍舟錦標賽活動</t>
  </si>
  <si>
    <t>U00108073370054</t>
  </si>
  <si>
    <t>捐鎮港常青會自然生態暨節約能源</t>
  </si>
  <si>
    <t>80009AJX57965502</t>
  </si>
  <si>
    <t xml:space="preserve">高雄市鎮港常青會                                                        </t>
  </si>
  <si>
    <t xml:space="preserve">高雄市前鎮區德昌里8鄰德昌街5巷40號                            </t>
  </si>
  <si>
    <t>U00108073370055</t>
  </si>
  <si>
    <t>捐助漂流木協會環保觀摩研習活動</t>
  </si>
  <si>
    <t>80008KJX38452828</t>
  </si>
  <si>
    <t xml:space="preserve">高雄市林園區漂流木環保促進協會                                          </t>
  </si>
  <si>
    <t xml:space="preserve">高雄市林園區文化街76號                                        </t>
  </si>
  <si>
    <t>U00108073370056</t>
  </si>
  <si>
    <t>前鎮里辦環保志工裝備工作服費</t>
  </si>
  <si>
    <t>U00108073370058</t>
  </si>
  <si>
    <t>捐助西汕里歡慶端午活動</t>
  </si>
  <si>
    <t>U00108073370059</t>
  </si>
  <si>
    <t>捐助潭頭里推廣米食活動</t>
  </si>
  <si>
    <t>U00108073370060</t>
  </si>
  <si>
    <t>林園區五福里陳方素珠急救助金</t>
  </si>
  <si>
    <t>林園區廣應里余慶郎急救助金</t>
  </si>
  <si>
    <t>林園區廣應里陳水生急救助金</t>
  </si>
  <si>
    <t>林園區港嘴里黃泰興急救助金</t>
  </si>
  <si>
    <t>林園區王公里王珮瑾急救助金</t>
  </si>
  <si>
    <t>林園區王公里呂季信急救助金</t>
  </si>
  <si>
    <t>林園區東林里蔡振男急救助金</t>
  </si>
  <si>
    <t>林園區中汕里吳永淑急救助金</t>
  </si>
  <si>
    <t>林園區鳳芸里王朱春枝急救助金</t>
  </si>
  <si>
    <t>林園區潭頭里劉昆岳急救助金</t>
  </si>
  <si>
    <t>林園區潭頭里李美麗急救助金</t>
  </si>
  <si>
    <t>林園區中芸里李政雄急救助金</t>
  </si>
  <si>
    <t>U00108073370062</t>
  </si>
  <si>
    <t>捐助公益睦鄰環境綠美化研習活動</t>
  </si>
  <si>
    <t>U00108073370063</t>
  </si>
  <si>
    <t>捐助天師廟宗教團體關懷弱勢活動</t>
  </si>
  <si>
    <t>80008KE126097394</t>
  </si>
  <si>
    <t xml:space="preserve">天師廟                                                                  </t>
  </si>
  <si>
    <t xml:space="preserve">高雄市林園區溪州里溪州一路142巷4號                            </t>
  </si>
  <si>
    <t>U00108073370066</t>
  </si>
  <si>
    <t>捐助仁愛里粽情飄香慶端陽活動</t>
  </si>
  <si>
    <t>U00108073370067</t>
  </si>
  <si>
    <t>捐助107第10期區管公園綠地</t>
  </si>
  <si>
    <t>U00108073370070</t>
  </si>
  <si>
    <t>捐助鳳芸社區協會環保生態活動</t>
  </si>
  <si>
    <t>80008KJX87883042</t>
  </si>
  <si>
    <t xml:space="preserve">高雄市林園區鳳芸社區發展協會                                            </t>
  </si>
  <si>
    <t xml:space="preserve">高雄市林園區鳳芸里鳳芸路57號                                  </t>
  </si>
  <si>
    <t>U00108073370072</t>
  </si>
  <si>
    <t>捐助太極拳協會傑出人員宣導活動</t>
  </si>
  <si>
    <t>80008JX187884324</t>
  </si>
  <si>
    <t>X1</t>
  </si>
  <si>
    <t xml:space="preserve">高雄市林園太極拳協會                                                    </t>
  </si>
  <si>
    <t xml:space="preserve">高雄市林園區龔厝里前厝路2巷27號                               </t>
  </si>
  <si>
    <t>U00108073370075</t>
  </si>
  <si>
    <t>捐助王公里歡慶端午節政令宣導活</t>
  </si>
  <si>
    <t>U00108073650041</t>
  </si>
  <si>
    <t>摘要說明更正為「鎮陽里」</t>
  </si>
  <si>
    <t>U00108073650090</t>
  </si>
  <si>
    <t>108年7月份五億基金利息費用</t>
  </si>
  <si>
    <t>80008KIX</t>
  </si>
  <si>
    <t>A00108073370055</t>
    <phoneticPr fontId="18" type="noConversion"/>
  </si>
  <si>
    <t>A00108073370067</t>
    <phoneticPr fontId="18" type="noConversion"/>
  </si>
  <si>
    <t>美源街火警急難救助</t>
    <phoneticPr fontId="18" type="noConversion"/>
  </si>
  <si>
    <t>宜蘭縣</t>
  </si>
  <si>
    <t>苗栗縣</t>
  </si>
  <si>
    <t>高雄市</t>
  </si>
  <si>
    <t>新北市</t>
  </si>
  <si>
    <t>總公司</t>
  </si>
  <si>
    <t>台南市永康區埔園社區發展協會</t>
  </si>
  <si>
    <t>符合本公司睦鄰工作要點規定</t>
  </si>
  <si>
    <t>屏東縣台灣心屏東情關懷協會</t>
  </si>
  <si>
    <t>屏東縣潮州鎮東港溪河堤護樹協會</t>
  </si>
  <si>
    <t>苗栗縣體育會</t>
  </si>
  <si>
    <t>高雄市鳳山鳳大愛社區營造協會</t>
  </si>
  <si>
    <t>高雄市鳳山區鳳新社區發展協會</t>
  </si>
  <si>
    <t>臺南市後壁區頂安社區發展協會</t>
  </si>
  <si>
    <t>苗栗縣苑裡鎮社苓社區發展協會</t>
  </si>
  <si>
    <t>屏東縣新園鄉老人會</t>
  </si>
  <si>
    <t>台灣弱勢者自強協進會</t>
  </si>
  <si>
    <t>財團法人仰山文教基金會</t>
  </si>
  <si>
    <t>中華民國國際舞蹈運動總會</t>
  </si>
  <si>
    <t>桃園市新屋區笨港社區發展協會</t>
  </si>
  <si>
    <t>金太陽全國歌友會</t>
  </si>
  <si>
    <t>社團法人宜蘭縣普達關懷協會</t>
  </si>
  <si>
    <t>臺南市民俗歌謠研究協會</t>
  </si>
  <si>
    <t>新北市長青會</t>
  </si>
  <si>
    <t>高雄市內門區永富社區發展協會</t>
  </si>
  <si>
    <t>屏東縣崁頂鄉南望安社區發展協會</t>
  </si>
  <si>
    <t>屏東縣東港鎮嘉蓮社區發展協會</t>
  </si>
  <si>
    <t>臺南市產業振興交流協會</t>
  </si>
  <si>
    <t>台灣青年夢想聯盟協會</t>
  </si>
  <si>
    <t>屏東縣新園鄉共和社區發展協會</t>
  </si>
  <si>
    <t>桃園市楊梅區健身槌球促進會</t>
  </si>
  <si>
    <t>苗栗縣後龍鎮埔頂社區發展協會</t>
  </si>
  <si>
    <t>彰化縣鹿港鎮頭崙社區發展協會</t>
  </si>
  <si>
    <t>苗栗縣苑裡鎮山柑社區發展協會</t>
  </si>
  <si>
    <t>彰化縣彰化市五權社區發展協會</t>
  </si>
  <si>
    <t>屏東縣內埔鄉燈籠花社區老人會</t>
  </si>
  <si>
    <t>南投縣退休生涯規劃協會</t>
  </si>
  <si>
    <t>桃園市民俗傳藝協會</t>
  </si>
  <si>
    <t>屏東縣國際標準舞蹈發展協會</t>
  </si>
  <si>
    <t>台南市學甲區一秀社區發展協會</t>
  </si>
  <si>
    <t>臺南市社區衛生促進會</t>
  </si>
  <si>
    <t>社團法人高雄市源生慈善會</t>
  </si>
  <si>
    <t>新北市金山區兩西社區發展協會</t>
  </si>
  <si>
    <t>臺南市仁德百合協進會</t>
  </si>
  <si>
    <t>桃園市楊梅區新城市促進會</t>
  </si>
  <si>
    <t>宜蘭縣世合釣友協會</t>
  </si>
  <si>
    <t>臺南市青年志工服務協會</t>
  </si>
  <si>
    <t>屏東縣龍安觀音宗教文化協會</t>
  </si>
  <si>
    <t>南投縣民俗音樂發展協會</t>
  </si>
  <si>
    <t>屏東縣萬丹鄉老人會</t>
  </si>
  <si>
    <t>新北市汐止區北忠社區發展協會</t>
  </si>
  <si>
    <t>彰化縣秀水鄉鶴鳴社區發展協會</t>
  </si>
  <si>
    <t>彰化縣愛心婦女關懷協會</t>
  </si>
  <si>
    <t>臺中市后里區預防犯罪宣導協會</t>
  </si>
  <si>
    <t>屏東縣屏東市聖威民俗技藝發展協會</t>
  </si>
  <si>
    <t>雲林縣梅荷協會</t>
  </si>
  <si>
    <t>彰化縣農村暨社區發展協會</t>
  </si>
  <si>
    <t>屏東縣長治鄉崙上社區發展協會</t>
  </si>
  <si>
    <t>屏東縣東港鎮東隆老人福利促進會</t>
  </si>
  <si>
    <t>屏東縣東港鎮龍樹王公慈善會</t>
  </si>
  <si>
    <t>屏東縣新園鄉後厝社區發展協會</t>
  </si>
  <si>
    <t>屏東縣東港鎮老人福利協進會</t>
  </si>
  <si>
    <t>宜蘭縣蘇澳鎮體育會</t>
  </si>
  <si>
    <t>臺南市後壁區嘉田社區發展協會</t>
  </si>
  <si>
    <t>台南市民生圍棋文化協會</t>
  </si>
  <si>
    <t>彰化縣彰化市南瑤老人會</t>
  </si>
  <si>
    <t>新北市金山區金包里社區發展協會</t>
  </si>
  <si>
    <t>屏東縣部落大學促進會</t>
  </si>
  <si>
    <t>臺中市清水區里長協會</t>
  </si>
  <si>
    <t>雲林縣西螺鎮詔安社區發展協會</t>
  </si>
  <si>
    <t>社團法人高雄市調色板協會</t>
  </si>
  <si>
    <t>雲林縣西螺鎮魚寮白沙屯媽祖會</t>
  </si>
  <si>
    <t>屏東縣潮州鎮太極氣功協會</t>
  </si>
  <si>
    <t>臺中市臺中港區經濟繁榮促進會</t>
  </si>
  <si>
    <t>社團法人南投縣草屯鎮老人會</t>
  </si>
  <si>
    <t>屏東縣崁頂鄉踏青文化協會</t>
  </si>
  <si>
    <t>中華亞太華人文經交流協會</t>
  </si>
  <si>
    <t>臺南市鹽行禹帝宮愛心慈善會</t>
  </si>
  <si>
    <t>屏東縣東港鎮鎮海公園長青協會</t>
  </si>
  <si>
    <t>花蓮縣民意長青會</t>
  </si>
  <si>
    <t>台中市尾張仔文化發展協會</t>
  </si>
  <si>
    <t>屏東縣音悅文化協會</t>
  </si>
  <si>
    <t>臺中市外埔區大同社區發展協會</t>
  </si>
  <si>
    <t>桃園市中華外內丹功運動協會</t>
  </si>
  <si>
    <t>台北市萬華區婦女志工會</t>
  </si>
  <si>
    <t>臺南市南瀛歌藝研習協會</t>
  </si>
  <si>
    <t>屏東縣全接觸空手道協會</t>
  </si>
  <si>
    <t>社團法人南投縣草屯鎮僑光老人會</t>
  </si>
  <si>
    <t>屏東縣竹田鄉長青服務協會</t>
  </si>
  <si>
    <t>社團法人屏東縣屏東市長春關懷協會</t>
  </si>
  <si>
    <t>彰化縣彰化市興北社區發展協會</t>
  </si>
  <si>
    <t>高雄市苓雅區五權社區發展協會</t>
  </si>
  <si>
    <t>屏東縣崁頂鄉港東婦女新知協會</t>
  </si>
  <si>
    <t>屏東縣崁頂鄉港東社區再生促進協會</t>
  </si>
  <si>
    <t>屏東縣佳冬鄉四塊厝社區促進會</t>
  </si>
  <si>
    <t>屏東縣東港鎮志工服務協會</t>
  </si>
  <si>
    <t>臺南市夏蓮舞動身心健康促進協會</t>
  </si>
  <si>
    <t>臺南市柳營人生社會服務協會</t>
  </si>
  <si>
    <t>南投縣竹山鎮前山文康協會</t>
  </si>
  <si>
    <t>宜蘭縣宜蘭市民生社區發展協會</t>
  </si>
  <si>
    <t>屏東縣潮州鎮南光老人會</t>
  </si>
  <si>
    <t>桃園市桃園區同德社區發展協會</t>
  </si>
  <si>
    <t>臺南市蓮華文教協會</t>
  </si>
  <si>
    <t>屏東縣新園鄉第七老人會</t>
  </si>
  <si>
    <t>宜蘭縣宜蘭市新興社區發展協會</t>
  </si>
  <si>
    <t>屏東縣屏東市朝陽關懷協會</t>
  </si>
  <si>
    <t>國軍退除役官兵輔導委員會佳里榮譽國民之家</t>
  </si>
  <si>
    <t>中華民國聲暉聯合會</t>
  </si>
  <si>
    <t>彰化縣大自然風景手機攝影交流協會</t>
  </si>
  <si>
    <t>屏東縣恆春鎮二郎神慈善功德會</t>
  </si>
  <si>
    <t>臺南市慈聖文化志工服務協會</t>
  </si>
  <si>
    <t>高雄市鳳山籃球協會</t>
  </si>
  <si>
    <t>屏東縣琉球鄉李厝文化協會</t>
  </si>
  <si>
    <t>屏東縣琉球鄉棒壘球協會</t>
  </si>
  <si>
    <t>屏東縣東港鎮第三老人會</t>
  </si>
  <si>
    <t>台南市學甲區美豐社區發展協會</t>
  </si>
  <si>
    <t>彰化縣彰化市西勢社區發展協會</t>
  </si>
  <si>
    <t>新竹縣原住民就業暨文化推展協會</t>
  </si>
  <si>
    <t>臺中市石岡區金星社區發展協會</t>
  </si>
  <si>
    <t>臺南市佳里區忠仁社區發展協會</t>
  </si>
  <si>
    <t>屏東縣萬巒鄉萬和社區發展協會</t>
  </si>
  <si>
    <t>社團法人高雄三山脊損重建協會</t>
  </si>
  <si>
    <t>苗栗縣無人機應用服務創新發展協會</t>
  </si>
  <si>
    <t>屏東縣佳冬鄉六根社區發展協會</t>
  </si>
  <si>
    <t>屏東縣萬巒鄉土風舞協會</t>
  </si>
  <si>
    <t>中華布家開口獅藝陣協會</t>
  </si>
  <si>
    <t>台南市北區成德社區發展協會</t>
  </si>
  <si>
    <t>臺南市白河區仙草社區發展協會</t>
  </si>
  <si>
    <t>屏東縣恆春鎮花木蘭居家安全關懷協會</t>
  </si>
  <si>
    <t>臺南市鹽水長青服務協會</t>
  </si>
  <si>
    <t>桃園市新屋區東明社區發展協會</t>
  </si>
  <si>
    <t>台灣街頭藝人發展協會</t>
  </si>
  <si>
    <t>社團法人高雄市傷殘服務協會</t>
  </si>
  <si>
    <t>桃園市柔力球協會</t>
  </si>
  <si>
    <t>屏東縣潮州鎮老人會</t>
  </si>
  <si>
    <t>中華民國幸福城市營造發展協會</t>
  </si>
  <si>
    <t>屏東縣東港鎮社區營造關懷協會</t>
  </si>
  <si>
    <t>臺南市新營區民生社區發展協會</t>
  </si>
  <si>
    <t>新北市淡水區藝術造村發展協會</t>
  </si>
  <si>
    <t>嘉義縣阿里山人仁協會</t>
  </si>
  <si>
    <t>社團法人雲林縣書香關懷協會</t>
  </si>
  <si>
    <t>臺南市善化區田寮社區發展協會</t>
  </si>
  <si>
    <t>臺南市後壁區福安社區發展協會</t>
  </si>
  <si>
    <t>苗栗縣榕樹伯公文化推展協會</t>
  </si>
  <si>
    <t>桃園市矮崗仔福德宮協進會</t>
  </si>
  <si>
    <t>高雄市音律活化健康協會</t>
  </si>
  <si>
    <t>彰化縣花壇鄉老人會</t>
  </si>
  <si>
    <t>屏東縣東港鎮延森太極拳協會</t>
  </si>
  <si>
    <t>臺南市南瀛新移民女性關懷協會</t>
  </si>
  <si>
    <t>南投縣名間槌球協會</t>
  </si>
  <si>
    <t>中華民國飛鏢總會</t>
  </si>
  <si>
    <t>新北市金山區美田社區發展協會</t>
  </si>
  <si>
    <t>南投縣工商婦女企業管理協會</t>
  </si>
  <si>
    <t>彰化縣彰化市華陽社區發展協會</t>
  </si>
  <si>
    <t>新北市環保生態育樂協會</t>
  </si>
  <si>
    <t>彰化縣花壇鄉白沙社區發展協會</t>
  </si>
  <si>
    <t>彰化縣國學研究會</t>
  </si>
  <si>
    <t>南投縣中寮鄉仙樂社區發展協會</t>
  </si>
  <si>
    <t>屏東縣林邊鄉第七老人會</t>
  </si>
  <si>
    <t>臺南市快樂社區營造協會</t>
  </si>
  <si>
    <t>台南市府城同心協會</t>
  </si>
  <si>
    <t>桃園市楊梅區永青協會</t>
  </si>
  <si>
    <t>苗栗縣中港慈裕禮佛文教協會</t>
  </si>
  <si>
    <t>高雄市武當趙堡太極拳協會</t>
  </si>
  <si>
    <t>屏東縣東港鎮大眾老人協進會</t>
  </si>
  <si>
    <t>新竹市中油退休人員協進會</t>
  </si>
  <si>
    <t>社團法人高雄市身心障礙者技能發展協會</t>
  </si>
  <si>
    <t>臺中市大甲區日南社區發展協會</t>
  </si>
  <si>
    <t>臺中市清水區中興社區發展協會</t>
  </si>
  <si>
    <t>南投縣草屯鎮碧洲社區發展協會</t>
  </si>
  <si>
    <t>台南市仁德區後壁社區發展協會</t>
  </si>
  <si>
    <t>雲林縣古坑鄉大埔社區發展協會</t>
  </si>
  <si>
    <t>高雄市總工會</t>
  </si>
  <si>
    <t>台南市歸仁區許厝社區發展協會</t>
  </si>
  <si>
    <t>桃園市新屋區新生社區發展協會</t>
  </si>
  <si>
    <t>高雄市岡山老人福利協進會</t>
  </si>
  <si>
    <t>南投縣草屯鎮北投社區發展協會</t>
  </si>
  <si>
    <t>屏東縣潮州鎮易筋有氧氣功協會</t>
  </si>
  <si>
    <t>桃園市興龍太極拳華佗五禽之戲協會</t>
  </si>
  <si>
    <t>社團法人台南市星光身心障礙勵進會</t>
  </si>
  <si>
    <t>嘉義縣水上鄉寬士社區發展協會</t>
  </si>
  <si>
    <t>臺中市清水區鰲峰社區發展協會</t>
  </si>
  <si>
    <t>探採事業部</t>
  </si>
  <si>
    <t>苗栗縣健康舞蹈運動協會</t>
  </si>
  <si>
    <t>苗栗縣竹南鎮中港社區發展協會</t>
  </si>
  <si>
    <t>台南市官田區隆本社區發展協會</t>
  </si>
  <si>
    <t>苗栗縣文化產業藝術協會</t>
  </si>
  <si>
    <t>苗栗縣通霄鎮楓樹社區發展協會</t>
  </si>
  <si>
    <t>苗栗縣公館鄉鶴岡社區發展協會</t>
  </si>
  <si>
    <t>台灣愛關懷公益協會</t>
  </si>
  <si>
    <t>苗栗縣竹南義消協會</t>
  </si>
  <si>
    <t>苗栗縣綠美化協會</t>
  </si>
  <si>
    <t>苗栗縣水上運動觀光休閒發展協會</t>
  </si>
  <si>
    <t>財團法人山城友愛人文基金會</t>
  </si>
  <si>
    <t>苗栗縣西畫學會</t>
  </si>
  <si>
    <t>苗栗縣竹南造橋後龍維安協會</t>
  </si>
  <si>
    <t>苗栗縣竹南鎮婦女會</t>
  </si>
  <si>
    <t>苗栗縣三義鄉廣盛社區發展協會</t>
  </si>
  <si>
    <t>苗栗縣中港溪游泳協會</t>
  </si>
  <si>
    <t>臺南市官田區隆田社區發展協會</t>
  </si>
  <si>
    <t>苗栗縣合興文化推展協會</t>
  </si>
  <si>
    <t>苗栗縣頭份市濫坑社區發展協會</t>
  </si>
  <si>
    <t>苗栗縣公館鄉公所</t>
  </si>
  <si>
    <t>苗栗縣苗栗市勝利社區發展協會</t>
  </si>
  <si>
    <t>苗栗縣頭份槌球協會</t>
  </si>
  <si>
    <t>苗栗縣山城客家弦歌協會</t>
  </si>
  <si>
    <t>苗栗縣頭份市中山社區發展協會</t>
  </si>
  <si>
    <t>苗栗縣通霄鎮城南社區發展協會</t>
  </si>
  <si>
    <t>苗栗縣社交舞健康促進協會</t>
  </si>
  <si>
    <t>台灣愛酵環保協會</t>
  </si>
  <si>
    <t>苗栗縣傳統藝術文化發展協會</t>
  </si>
  <si>
    <t>苗栗縣頭份市斗煥社區發展協會</t>
  </si>
  <si>
    <t>苗栗縣大湖歌舞發展協會</t>
  </si>
  <si>
    <t>苗栗縣通霄鎮公所</t>
  </si>
  <si>
    <t>苗栗縣太極氣功推展協會</t>
  </si>
  <si>
    <t>苗栗縣青苗健康社區協會</t>
  </si>
  <si>
    <t>苗栗縣田寮營造發展協會</t>
  </si>
  <si>
    <t>苗栗縣文聖志願服務協會</t>
  </si>
  <si>
    <t>苗栗縣苗栗市新苗社區發展協會</t>
  </si>
  <si>
    <t>苗栗縣苗栗市福星社區發展協會</t>
  </si>
  <si>
    <t>苗栗縣公館鄉玉谷社區發展協會</t>
  </si>
  <si>
    <t>苗栗縣義勇特種搜救協會</t>
  </si>
  <si>
    <t>苗栗縣公館鄉仁安社區發展協會</t>
  </si>
  <si>
    <t>苗栗縣苗栗市玉清社區發展協會</t>
  </si>
  <si>
    <t>社團法人台灣國際美容美髮學術技術交流協會</t>
  </si>
  <si>
    <t>五穀社區發展協會</t>
  </si>
  <si>
    <t>苗栗縣公館鄉公館守望相助協會</t>
  </si>
  <si>
    <t>苗栗縣通霄鎮五南社區發展協會</t>
  </si>
  <si>
    <t>苗栗縣油桐花文化推廣協會</t>
  </si>
  <si>
    <t>苗栗縣恭敬活力健康推展協會</t>
  </si>
  <si>
    <t>社團法人苗栗縣聽障協會</t>
  </si>
  <si>
    <t>苗栗市青苗社區發展協會</t>
  </si>
  <si>
    <t>苗栗縣新都生活文化協會</t>
  </si>
  <si>
    <t>苗栗縣苑裡鎮社苓長照敬老協會</t>
  </si>
  <si>
    <t>苗栗縣公館鄉館中社區發展協會</t>
  </si>
  <si>
    <t>林淑華</t>
  </si>
  <si>
    <t>苗栗縣理剪燙髮推廣協會</t>
  </si>
  <si>
    <t>苗栗縣魯班會</t>
  </si>
  <si>
    <t>苗栗縣福德社會關懷協會</t>
  </si>
  <si>
    <t>苗栗縣客家話傳承文化協會</t>
  </si>
  <si>
    <t>苗栗縣星安客家文化協會</t>
  </si>
  <si>
    <t>苗栗縣和和運動舞蹈協會</t>
  </si>
  <si>
    <t>苗栗縣美康家園推展協會</t>
  </si>
  <si>
    <t>苗栗縣石油事業退休人員協會</t>
  </si>
  <si>
    <t>苗栗縣通霄鎮福源社區發展協會</t>
  </si>
  <si>
    <t>李洪桂煌</t>
  </si>
  <si>
    <t>周慶合</t>
  </si>
  <si>
    <t>苗栗縣頭份市上埔社區發展協會</t>
  </si>
  <si>
    <t>苗栗縣勝利溫馨關懷協會</t>
  </si>
  <si>
    <t>苗栗縣頭份市東庄社區發展協會</t>
  </si>
  <si>
    <t>臺南市官田區老人福利協進會</t>
  </si>
  <si>
    <t>苗栗縣厝勝關懷文化協會</t>
  </si>
  <si>
    <t>苗栗縣飛鳳文化傳承協會</t>
  </si>
  <si>
    <t>苗栗縣中華博愛協會</t>
  </si>
  <si>
    <t>苗栗縣南庄鄉田美社區發展協會</t>
  </si>
  <si>
    <t>苗栗縣海岸青年協會</t>
  </si>
  <si>
    <t>苗栗縣通霄鎮平元社區發展協會</t>
  </si>
  <si>
    <t>苗栗縣通霄鎮梅南社區發展協會</t>
  </si>
  <si>
    <t>苗栗縣泰湖舞蹈運動協會</t>
  </si>
  <si>
    <t>黃陳美圓</t>
  </si>
  <si>
    <t>臺南市官田區東西庄社區發展協會</t>
  </si>
  <si>
    <t>徐寶溢</t>
  </si>
  <si>
    <t>苗栗縣族群文化發展協會</t>
  </si>
  <si>
    <t>苗栗縣苗栗市上苗守望相助推展協會</t>
  </si>
  <si>
    <t>林阿蘭</t>
  </si>
  <si>
    <t>苗栗縣獅潭鄉豐林社區發展協會</t>
  </si>
  <si>
    <t>苗栗縣保福志工文化協會</t>
  </si>
  <si>
    <t>苗栗縣文創產業協會</t>
  </si>
  <si>
    <t>謝元斌</t>
  </si>
  <si>
    <t>林麗珠</t>
  </si>
  <si>
    <t>台中營業處</t>
  </si>
  <si>
    <t>臺中市大肚區王田社區發展協會</t>
  </si>
  <si>
    <t>臺中市大肚區頂街社區營造協會</t>
  </si>
  <si>
    <t>嘉義營業處</t>
  </si>
  <si>
    <t>嘉義縣民雄鄉公所</t>
  </si>
  <si>
    <t>澎湖縣湖西鄉湖西社區發展協會</t>
  </si>
  <si>
    <t>澎湖縣湖西鄉林投社區發展協會</t>
  </si>
  <si>
    <t>臺南市新營區角帶社區發展協會</t>
  </si>
  <si>
    <t>嘉義縣民雄鄉秀林社區發展協會</t>
  </si>
  <si>
    <t>台南營業處</t>
  </si>
  <si>
    <t>台南市山上區豐德社區發展協會</t>
  </si>
  <si>
    <t>台南市永康區三民社區發展協會</t>
  </si>
  <si>
    <t>高雄營業處</t>
  </si>
  <si>
    <t>高雄市橋頭區仕隆社區發展協會</t>
  </si>
  <si>
    <t>高雄市橋頭區三德社區發展協會</t>
  </si>
  <si>
    <t>高雄市橋頭區甲北社區發展協會</t>
  </si>
  <si>
    <t>高雄市嗡嗡嗡動保協會</t>
  </si>
  <si>
    <t>東區營業處</t>
  </si>
  <si>
    <t>花蓮縣新城鄉公所</t>
  </si>
  <si>
    <t>花蓮縣新城鄉噶瑪蘭文化發展協會</t>
  </si>
  <si>
    <t>宜蘭縣蘇澳鎮長安社區發展協會</t>
  </si>
  <si>
    <t>宜蘭縣蘇澳鎮公所</t>
  </si>
  <si>
    <t>花蓮縣新城鄉康樂社區發展協會</t>
  </si>
  <si>
    <t>順安社區發展協會</t>
  </si>
  <si>
    <t>煉製研究所</t>
  </si>
  <si>
    <t>探採研究所</t>
  </si>
  <si>
    <t>苗栗縣苗栗市文山社區發展協會</t>
  </si>
  <si>
    <t>苗栗市文聖社區發展協會</t>
  </si>
  <si>
    <t>液化天然氣工程處</t>
  </si>
  <si>
    <t>臺中市身心障礙者健康促進會</t>
  </si>
  <si>
    <t>林瑞寬</t>
  </si>
  <si>
    <t>鄒強</t>
  </si>
  <si>
    <t>許秀娥</t>
  </si>
  <si>
    <t>黃貴壽</t>
  </si>
  <si>
    <t>蔡秋碧</t>
  </si>
  <si>
    <t>廖惠美</t>
  </si>
  <si>
    <t>王小連</t>
  </si>
  <si>
    <t>北區營業處</t>
  </si>
  <si>
    <t>桃園市龍潭區高平社區發展協會</t>
  </si>
  <si>
    <t>陽森山莊社區管理委員會</t>
  </si>
  <si>
    <t>苗栗縣野薑花愛心協會</t>
  </si>
  <si>
    <t>台中液化天然氣廠</t>
  </si>
  <si>
    <t>臺中市梧棲區大村社區發展協會</t>
  </si>
  <si>
    <t>臺中市梧棲區永寧社區發展協會</t>
  </si>
  <si>
    <t>臺中市梧棲區中和社區發展協會</t>
  </si>
  <si>
    <t>臺中市梧棲區下寮社區發展協會</t>
  </si>
  <si>
    <t>臺中市梧棲安良港社區永續發展協會</t>
  </si>
  <si>
    <t>臺中市友愛協進會</t>
  </si>
  <si>
    <t>臺中市梧棲區頂寮社區發展協會</t>
  </si>
  <si>
    <t>臺中市梧棲區草湳社區發展協會</t>
  </si>
  <si>
    <t>臺中市梧棲區梧南國民小學</t>
  </si>
  <si>
    <t>臺中市梧棲區太極養生拳路推廣協會</t>
  </si>
  <si>
    <t>臺中市梧棲區永安社區發展協會</t>
  </si>
  <si>
    <t>臺中市梧棲區維善關懷協會</t>
  </si>
  <si>
    <t>臺中市漁船及漁民互助協會</t>
  </si>
  <si>
    <t>南區營業處</t>
  </si>
  <si>
    <t>臺中市清水區博愛關懷協會</t>
  </si>
  <si>
    <t>高雄市橋頭區甲南社區發展協會</t>
  </si>
  <si>
    <t>永安液化天然氣廠</t>
  </si>
  <si>
    <t>高雄市永安區維新社區發展協會</t>
  </si>
  <si>
    <t>高雄市路竹區後鄉社區發展協會</t>
  </si>
  <si>
    <t>高雄市茄萣區嘉賜社區發展協會</t>
  </si>
  <si>
    <t>高雄市立茄萣國民中學</t>
  </si>
  <si>
    <t>高雄市立彌陀國民中學</t>
  </si>
  <si>
    <t>高雄市永安區新港國民小學</t>
  </si>
  <si>
    <t>高雄市立永安國民中學</t>
  </si>
  <si>
    <t>高雄市彌陀區漯底社區發展協會</t>
  </si>
  <si>
    <t>高雄市永安區保寧社區發展協會</t>
  </si>
  <si>
    <t>高雄市永安區永安國民小學</t>
  </si>
  <si>
    <t>高雄市彌陀區漁會</t>
  </si>
  <si>
    <t>高雄市彌陀區彌陀國民小學</t>
  </si>
  <si>
    <t>高雄市永安區農會</t>
  </si>
  <si>
    <t>高雄市永安區新港社區發展協會</t>
  </si>
  <si>
    <t>高雄市茄萣區光定社區發展協會</t>
  </si>
  <si>
    <t>高雄市茄萣區吉定社區發展協會</t>
  </si>
  <si>
    <t>高雄市茄萣體育會</t>
  </si>
  <si>
    <t>高雄市路竹華山長壽協會</t>
  </si>
  <si>
    <t>高雄市茄萣婦女工作協會</t>
  </si>
  <si>
    <t>高雄市永安新港老人長壽協進會</t>
  </si>
  <si>
    <t>大高雄永安婦女會</t>
  </si>
  <si>
    <t>高雄市永安代安宮封千歲慈善會</t>
  </si>
  <si>
    <t>高雄市茄萣區和協社區發展協會</t>
  </si>
  <si>
    <t>海洋委員會海巡署南部分署</t>
  </si>
  <si>
    <t>高雄市彌陀區壽齡國民小學</t>
  </si>
  <si>
    <t>高雄市彌陀區南安國民小學</t>
  </si>
  <si>
    <t>高雄市永安區維新國民小學</t>
  </si>
  <si>
    <t>高雄市永安區永華社區發展協會</t>
  </si>
  <si>
    <t>煉製事業部</t>
  </si>
  <si>
    <t>高雄市大寮區公所</t>
  </si>
  <si>
    <t>高雄市楠梓區公所</t>
  </si>
  <si>
    <t>高雄市楠梓區惠楠社區發展協會</t>
  </si>
  <si>
    <t>高雄市梓官里務促進會</t>
  </si>
  <si>
    <t>符進東楠梓民防分隊</t>
  </si>
  <si>
    <t>高雄市梓官區同安社區發展協會</t>
  </si>
  <si>
    <t>社團法人高雄市楠梓區翠屏社區發展協會</t>
  </si>
  <si>
    <t>高雄市梓官區大舍社區發展協會</t>
  </si>
  <si>
    <t>財團法人華山社會福利慈善事業基金會</t>
  </si>
  <si>
    <t>財團法人創世社會福利基金會</t>
  </si>
  <si>
    <t>高雄市楠梓區宏毅社區發展協會</t>
  </si>
  <si>
    <t>大林煉油廠</t>
  </si>
  <si>
    <t>高雄市義勇消防總隊婦女防火宣導大隊大林分隊</t>
  </si>
  <si>
    <t>高雄市鳳源長青協會</t>
  </si>
  <si>
    <t>高雄市兩輪健身協會</t>
  </si>
  <si>
    <t>高雄市小港區大鳳居民權益關懷協會</t>
  </si>
  <si>
    <t>高雄市燕巢區深水社區發展協會</t>
  </si>
  <si>
    <t>高雄市小港分局義警中隊</t>
  </si>
  <si>
    <t>高雄市南星登山健行協會</t>
  </si>
  <si>
    <t>中華依（ｅ）世代文化研究發展協會</t>
  </si>
  <si>
    <t>大高雄大社婦女會</t>
  </si>
  <si>
    <t>高雄市橋頭區環保促進會</t>
  </si>
  <si>
    <t>高雄市小港區合作社區發展協會</t>
  </si>
  <si>
    <t>高雄市仁武區烏林社區發展協會</t>
  </si>
  <si>
    <t>高雄市政府警察局義勇警察大隊楠梓中隊楠梓分隊</t>
  </si>
  <si>
    <t>高雄市仁武區中華社區發展協會</t>
  </si>
  <si>
    <t>坪頂里社區守望相助隊</t>
  </si>
  <si>
    <t>高雄市鳳林長青快樂協會</t>
  </si>
  <si>
    <t>高雄市小港區小港社區發展協會</t>
  </si>
  <si>
    <t>高雄市小港區中厝社區發展協會</t>
  </si>
  <si>
    <t>高雄市閭山玄易門法師協會</t>
  </si>
  <si>
    <t>高雄市小港區松金社區發展協會</t>
  </si>
  <si>
    <t>高雄市小港區港和國民小學</t>
  </si>
  <si>
    <t>高雄市沿海愛鄉協會</t>
  </si>
  <si>
    <t>高雄市小港區活力社區發展協會</t>
  </si>
  <si>
    <t>高雄市沿海環境綠色保護協會</t>
  </si>
  <si>
    <t>高雄市快樂健康促進會</t>
  </si>
  <si>
    <t>高雄市小港區松山社區發展協會</t>
  </si>
  <si>
    <t>高雄市小港區港后社區發展協會</t>
  </si>
  <si>
    <t>高雄市南星晨運健康協會</t>
  </si>
  <si>
    <t>高雄市小港區華山國民小學</t>
  </si>
  <si>
    <t>高雄市小港區二苓國民小學</t>
  </si>
  <si>
    <t>社團法人高雄市合德慈善會</t>
  </si>
  <si>
    <t>高雄市小港區山（水＋田）水秀社區發展協會</t>
  </si>
  <si>
    <t>高雄市政府所轄機關工會總工會</t>
  </si>
  <si>
    <t>高雄巿政府經濟發展局工會</t>
  </si>
  <si>
    <t>高雄市血緣捐血協會</t>
  </si>
  <si>
    <t>高雄市沿海海域生態維護協會</t>
  </si>
  <si>
    <t>高雄市龍鳳長青敬老協會</t>
  </si>
  <si>
    <t>高雄市環境保護協會</t>
  </si>
  <si>
    <t>高雄市漁民港務促進會</t>
  </si>
  <si>
    <t>高雄市沿海敬老協會</t>
  </si>
  <si>
    <t>高雄市小港區漁會</t>
  </si>
  <si>
    <t>高雄市小港區沿海６里公益基金孳息管理委員會</t>
  </si>
  <si>
    <t>桃園煉油廠</t>
  </si>
  <si>
    <t>桃園市大園區沙崙社區發展協會</t>
  </si>
  <si>
    <t>桃園市桃園區汴洲社區發展協會</t>
  </si>
  <si>
    <t>桃園區漁會</t>
  </si>
  <si>
    <t>桃園市大園區海口社區發展協會</t>
  </si>
  <si>
    <t>桃園市大園區后厝社區發展協會</t>
  </si>
  <si>
    <t>桃園市蘆竹健康樂活協會</t>
  </si>
  <si>
    <t>桃園市龜山區南上社區發展協會</t>
  </si>
  <si>
    <t>桃園市蘆竹區老人會</t>
  </si>
  <si>
    <t>余得安</t>
  </si>
  <si>
    <t>桃園市和馨婦女文化協會</t>
  </si>
  <si>
    <t>液化石油氣事業部</t>
  </si>
  <si>
    <t>新北市瑞芳區深澳社區發展協會</t>
  </si>
  <si>
    <t>新北市瑞芳區公所</t>
  </si>
  <si>
    <t>新北市瑞芳區海濱社區發展協會</t>
  </si>
  <si>
    <t>福壽宮</t>
  </si>
  <si>
    <t>新北市瑞芳區漁會</t>
  </si>
  <si>
    <t>磅磅仔三府宮</t>
  </si>
  <si>
    <t>新北市瑞芳區魯班藝術發展協會</t>
  </si>
  <si>
    <t>新北市瑞芳松壽福利互助協會</t>
  </si>
  <si>
    <t>石化事業部</t>
  </si>
  <si>
    <t>高雄市前鎮區公所</t>
  </si>
  <si>
    <t>高雄市林園區中門環保志工協會</t>
  </si>
  <si>
    <t>高雄市林園區公益睦鄰促進會</t>
  </si>
  <si>
    <t>高雄市林園區仁愛社區發展協會</t>
  </si>
  <si>
    <t>高雄市林園區農會</t>
  </si>
  <si>
    <t>高雄市林園區中芸社區發展協會</t>
  </si>
  <si>
    <t>高雄市林園區五福環保志工協會</t>
  </si>
  <si>
    <t>高雄市林園區環保文化教育協會</t>
  </si>
  <si>
    <t>高雄市林園區溪州社區發展協會</t>
  </si>
  <si>
    <t>高雄市林園區潭頭社區發展協會</t>
  </si>
  <si>
    <t>高雄市鎮港常青會</t>
  </si>
  <si>
    <t>高雄市林園區漂流木環保促進協會</t>
  </si>
  <si>
    <t>天師廟</t>
  </si>
  <si>
    <t>高雄市林園區鳳芸社區發展協會</t>
  </si>
  <si>
    <t>高雄市林園太極拳協會</t>
  </si>
  <si>
    <t>活動摘要</t>
  </si>
  <si>
    <t>所屬縣市</t>
  </si>
  <si>
    <t>列帳年度</t>
    <phoneticPr fontId="18" type="noConversion"/>
  </si>
  <si>
    <t>月份</t>
    <phoneticPr fontId="18" type="noConversion"/>
  </si>
  <si>
    <t>填報單位</t>
    <phoneticPr fontId="18" type="noConversion"/>
  </si>
  <si>
    <t>申請單位</t>
    <phoneticPr fontId="18" type="noConversion"/>
  </si>
  <si>
    <t>金額(仟元)</t>
    <phoneticPr fontId="18" type="noConversion"/>
  </si>
  <si>
    <t>台南市</t>
  </si>
  <si>
    <t>屏東縣</t>
  </si>
  <si>
    <t>台北市</t>
  </si>
  <si>
    <t>桃園市</t>
  </si>
  <si>
    <t>彰化縣</t>
  </si>
  <si>
    <t>南投縣</t>
  </si>
  <si>
    <t>台中市</t>
  </si>
  <si>
    <t>雲林縣</t>
  </si>
  <si>
    <t>新竹縣</t>
  </si>
  <si>
    <t>花蓮縣</t>
  </si>
  <si>
    <t>新竹市</t>
  </si>
  <si>
    <t>嘉義縣</t>
  </si>
  <si>
    <t>基隆市</t>
  </si>
  <si>
    <t>澎湖縣</t>
  </si>
  <si>
    <t>金門縣</t>
  </si>
  <si>
    <t>高雄巿</t>
  </si>
  <si>
    <t>桃園區</t>
  </si>
  <si>
    <t>淨堤使環境美化暨節能減碳宣導活動</t>
  </si>
  <si>
    <t>2019社區關懷弱勢暨節能減碳宣導活動</t>
  </si>
  <si>
    <t>社區志工推動宣導節能減碳做環保活動</t>
  </si>
  <si>
    <t>108年度溫馨頂安～婦女健康衛教講座活動</t>
  </si>
  <si>
    <t>108年度社區環保活動暨推動節能減碳愛地球宣導活動</t>
  </si>
  <si>
    <t>108年度理事長盃慢速壘球錦標賽活動</t>
  </si>
  <si>
    <t>宜蘭舊城建築巡禮活動</t>
  </si>
  <si>
    <t>108年度營造農村社區關懷弱勢族群暨節約用油宣導活動</t>
  </si>
  <si>
    <t>新園鄉老人健康講座暨節能減碳宣導活動</t>
  </si>
  <si>
    <t>桃園區常照2.0成果發表暨節能減碳宣導活動</t>
  </si>
  <si>
    <t>第二屆舞舞生風響應愛心關懷弱勢公益活動</t>
  </si>
  <si>
    <t>金太陽全國歌友會108年全國歌唱比賽音樂暨弱勢公益團體自由歡唱免費入場欣賞及支持節約用油節能減碳宣導活動</t>
  </si>
  <si>
    <t>108年績優社區研習暨墓政、節約能源宣導活動</t>
  </si>
  <si>
    <t>彰化縣你兄我弟卦山籃球會</t>
  </si>
  <si>
    <t>108年社區籃球錦標賽暨節油減碳宣導活動</t>
  </si>
  <si>
    <t>樂活社區健康營造暨宣導節能減碳促進兩岸觀光交流活動</t>
  </si>
  <si>
    <t>節能減碳環保愛地球暨民俗歌謠研習活動</t>
  </si>
  <si>
    <t>屏東縣內埔鄉武德民俗技藝協會</t>
  </si>
  <si>
    <t>108年度大埔宋江陣武術培力及服儀更新活動</t>
  </si>
  <si>
    <t>屏東縣內埔鄉福泉社區發展協會</t>
  </si>
  <si>
    <t>環境保護教育講座花藝研習暨節能減碳宣導活動</t>
  </si>
  <si>
    <t>108年度第27屆市長盃太極拳錦標賽活動</t>
  </si>
  <si>
    <t>2019社區阿公阿嬤健康講座暨節能減碳宣導活動</t>
  </si>
  <si>
    <t>節能減碳節約用油宣導慶祝母親節表揚大會活動</t>
  </si>
  <si>
    <t>第七屆H.O.T校際原創音樂大賽活動</t>
  </si>
  <si>
    <t>宜蘭縣蘇澳鎮南寧社區發展協會</t>
  </si>
  <si>
    <t>台南市將軍區苓保社區發展協會</t>
  </si>
  <si>
    <t>108年度關懷獨居老人講座暨宣導正確用油節約能源活動</t>
  </si>
  <si>
    <t>屏東縣南州鄉同安社區發展協會</t>
  </si>
  <si>
    <t>108年度社區治安宣導活動</t>
  </si>
  <si>
    <t>桃園市楊梅區108年資青盃長青槌球邀請賽活動</t>
  </si>
  <si>
    <t>屏東縣新園鄉瓦磘社區發展協會</t>
  </si>
  <si>
    <t>清明節—食的文化生命故事活動暨節能減碳宣導活動</t>
  </si>
  <si>
    <t>108年山柑媽祖文化民俗遶境祈福踩街活動</t>
  </si>
  <si>
    <t>母親節惜福感恩活動暨兒少保護節約能源水土保持宣導活動</t>
  </si>
  <si>
    <t>臺南市麻豆區南勢社區發展協會</t>
  </si>
  <si>
    <t>108年慶祝母親節暨宣導節能減碳之活動</t>
  </si>
  <si>
    <t>108年度慶祝母親節暨節能減碳、資源回收系列宣導活動</t>
  </si>
  <si>
    <t>關懷弱勢族群暨節能減碳宣導活動</t>
  </si>
  <si>
    <t>高雄市鳳山鳳凰山山友會</t>
  </si>
  <si>
    <t>登山斜坡步道之樓梯鋪設、花草樹木整理、垃圾清除暨節能減碳宣導活動</t>
  </si>
  <si>
    <t>中部五縣市端午盃槌球邀請賽活動</t>
  </si>
  <si>
    <t>元宵踩街文化傳承慶典暨社會福利宣導活動</t>
  </si>
  <si>
    <t>108年石油液化瓦斯安全使用宣導活動</t>
  </si>
  <si>
    <t>社團法人臺中市身心障礙槌球運動推廣協會</t>
  </si>
  <si>
    <t>快樂盃親子槌球邀請賽暨節約能源宣導及港務宣導活動</t>
  </si>
  <si>
    <t>銀髮族筋絡伸展講座暨節能減碳宣導活動</t>
  </si>
  <si>
    <t>108年健康講座暨宣導低碳能源政策活動</t>
  </si>
  <si>
    <t>推動敦親睦鄰環保減碳多氧多氛多植樹環境綠化活動</t>
  </si>
  <si>
    <t>108年防詐騙宣導暨節能減碳、節約能源宣導活動</t>
  </si>
  <si>
    <t>108年度戶外生態藝術教學-童顏童語讓我們藝起畫畫去活動</t>
  </si>
  <si>
    <t>行動支付繳電費快速PAY推廣暨綠色能源推廣活動</t>
  </si>
  <si>
    <t>108年度珍愛地球清潔體健活動</t>
  </si>
  <si>
    <t>關懷獨居老人寒冬送愛心暨節能減碳宣導活動</t>
  </si>
  <si>
    <t>亞洲藝術學會</t>
  </si>
  <si>
    <t>第五屆環保地球日暨節能減碳綠化家園環保海報比賽活動</t>
  </si>
  <si>
    <t>桃園市菁英慢速壘球協會</t>
  </si>
  <si>
    <t>節能減碳我行動宣導暨慢速壘球錦標賽活動</t>
  </si>
  <si>
    <t>慈母心、感恩情、節能減碳你我行活動</t>
  </si>
  <si>
    <t>108年度母親節暨節約能源、節能減碳宣導活動</t>
  </si>
  <si>
    <t>新北市淡水區鄧公國民小學</t>
  </si>
  <si>
    <t>雲林縣古坑鄉崁腳社區發展協會</t>
  </si>
  <si>
    <t>108年媽媽教室手中菜，一世情活動</t>
  </si>
  <si>
    <t>桃園市弱勢者關懷協會</t>
  </si>
  <si>
    <t>關懷社區老人預防保健及節能減碳、節約用油、小心用油宣導活動</t>
  </si>
  <si>
    <t>108年度環保減碳親子健行暨預防犯罪宣導活動</t>
  </si>
  <si>
    <t>108年度母親節慶祝活動暨親子節能宣導活動</t>
  </si>
  <si>
    <t>千人健行賞桐花暨節能減碳宣導活動</t>
  </si>
  <si>
    <t>關懷弱勢民俗技藝表演暨節能減碳宣導活動</t>
  </si>
  <si>
    <t>108年長壽俱樂部節能減碳宣導活動</t>
  </si>
  <si>
    <t>108年關懷弱勢族群健康講座暨節能減碳宣導活動</t>
  </si>
  <si>
    <t>關懷老人健康講座暨節能減碳宣導活動</t>
  </si>
  <si>
    <t>108年度溪南、溪北圍棋賽暨節能減碳宣導活動</t>
  </si>
  <si>
    <t>108年節能減碳宣導暨生活健康講座活動</t>
  </si>
  <si>
    <t>108年度冷泉盃不老棒球邀請賽活動</t>
  </si>
  <si>
    <t>108年關懷老人歌唱比賽暨節能減碳宣導活動</t>
  </si>
  <si>
    <t>108年母親節關懷弱勢暨節油減碳宣導講座活動</t>
  </si>
  <si>
    <t>108年綠能低碳環保暨節約用電用油宣導活動</t>
  </si>
  <si>
    <t>台南市將軍區北埔社區發展協會</t>
  </si>
  <si>
    <t>108年度婦女防搶、防詐騙暨宣導正確用油節約能源活動</t>
  </si>
  <si>
    <t>臺南市二寮尖峯宋江陣民俗文化協會</t>
  </si>
  <si>
    <t>108年度民俗活動暨節能減碳宣導活動</t>
  </si>
  <si>
    <t>2019年閩南語、詔安客語演講比賽活動</t>
  </si>
  <si>
    <t>屏東縣身心靈瑜珈交流服務協會</t>
  </si>
  <si>
    <t>母親節感恩暨節能減碳宣導活動</t>
  </si>
  <si>
    <t>2019愛你99–手繪媽咪感恩慶祝活動暨推動宣導節能減碳愛地球活動</t>
  </si>
  <si>
    <t>夏季關懷弱勢暨節能減碳宣導活動</t>
  </si>
  <si>
    <t>慶祝母親節辦理健康衛生講座暨節約能源宣導活動</t>
  </si>
  <si>
    <t>母親節感恩孝親活動暨節約用油宣導活動</t>
  </si>
  <si>
    <t>108年度慶祝勞動節暨節能減碳及水土保持宣導活動</t>
  </si>
  <si>
    <t>桃園市長青生活終身關懷協會</t>
  </si>
  <si>
    <t>生態環保、淨山健行、老人福利暨節約用油、用電宣導活動</t>
  </si>
  <si>
    <t>社團法人臺南市佑康社會文教慈善關懷協會</t>
  </si>
  <si>
    <t>感恩五月–愛與關懷暨節能減碳宣導活動</t>
  </si>
  <si>
    <t>母親節親子晚會暨節能減碳宣導活動</t>
  </si>
  <si>
    <t>南投集集之美環保寫生比賽活動</t>
  </si>
  <si>
    <t>高雄市鳳山經武社區營造協會</t>
  </si>
  <si>
    <t>108年度清理社區環境消滅登革熱暨推動節約能源宣導活動</t>
  </si>
  <si>
    <t>尾張仔端午粽飄香,關懷感恩五月情暨節約用油、節能減碳宣導活動</t>
  </si>
  <si>
    <t>母親節看探母暨支持能源開發環境保護宣導活動</t>
  </si>
  <si>
    <t>繫上紫絲帶、幸福又安泰、家庭反暴力、讓愛更美麗活動</t>
  </si>
  <si>
    <t>空氣汙染防制暨親子健行及節約用油宣導活動</t>
  </si>
  <si>
    <t>2019唱歌音樂歌唱理論暨節能減碳宣導講座活動</t>
  </si>
  <si>
    <t>108年節能減碳宣導暨健康講座活動</t>
  </si>
  <si>
    <t>108年度防搶防詐騙暨宣導正確用油節約能源活動</t>
  </si>
  <si>
    <t>節能減碳暨健康防身推廣宣導活動</t>
  </si>
  <si>
    <t>108年度母親節健行活動</t>
  </si>
  <si>
    <t>老人健康講習暨節能減碳宣導活動</t>
  </si>
  <si>
    <t>屏東縣佳冬鄉關懷弱勢健康講座暨節能減碳宣導活動</t>
  </si>
  <si>
    <t>屏東縣體育會</t>
  </si>
  <si>
    <t>108年度青少年國武術菁英研習營暨節能減碳宣導活動</t>
  </si>
  <si>
    <t>108年度花藝(插花)研習暨節能減碳宣導活動</t>
  </si>
  <si>
    <t>108年度理事長盃槌球邀請賽活動</t>
  </si>
  <si>
    <t>正確用油、節約能源及支持中油油品宣導暨敦親睦鄰活動</t>
  </si>
  <si>
    <t>108年度宣導節能減碳環保愛地球活動</t>
  </si>
  <si>
    <t>新北市土城區婦女親子協會</t>
  </si>
  <si>
    <t>玩劇藝起來～親子的奇幻之旅活動</t>
  </si>
  <si>
    <t>家庭瓦斯使用安全暨母親節親子教育活動</t>
  </si>
  <si>
    <t>2019馨香五月暨節能減碳宣導活動</t>
  </si>
  <si>
    <t>108年度老人福利宣導活動</t>
  </si>
  <si>
    <t>108年度關懷弱勢講座暨節能減碳宣導活動</t>
  </si>
  <si>
    <t>宜蘭縣社區發展聯盟</t>
  </si>
  <si>
    <t>美化環境保護大自然活動</t>
  </si>
  <si>
    <t>關懷弱勢老人暨節能減碳宣導活動</t>
  </si>
  <si>
    <t>二郎神文化季暨寒冬送暖及節能減碳宣導活動</t>
  </si>
  <si>
    <t>第18屆全國聲暉爸媽表揚活動</t>
  </si>
  <si>
    <t>2019第三屆全國手機攝影比賽及弱勢團體親子紙黏土DIY暨節約用電用油水資源宣導活動</t>
  </si>
  <si>
    <t>108年度社區營造講座暨節能減碳宣導活動</t>
  </si>
  <si>
    <t>戀戀聖母情～懷念歌曲錦標賽暨石油液化、瓦斯安全常識宣導活動</t>
  </si>
  <si>
    <t>2019高雄市全鎰營造盃全國老馬公益籃球錦標賽暨推動宣導節能減碳愛地球政策活動</t>
  </si>
  <si>
    <t>2019五峰鄉推動原民文化傳統祭典歌謠與傳統祭典舞蹈活動</t>
  </si>
  <si>
    <t>108年度慶祝母親節暨節約用電、節能減碳、資源回收系列宣導活動</t>
  </si>
  <si>
    <t>溫馨五月母親節感恩暨支持節能減碳宣導活動</t>
  </si>
  <si>
    <t>關懷老人健康與藥物常識講座及節約用油宣導活動</t>
  </si>
  <si>
    <t>身障者長照2.0知多少講座暨推動宣導節能減碳愛地球政策活動</t>
  </si>
  <si>
    <t>社區同樂會暨節能減碳愛地球宣導活動</t>
  </si>
  <si>
    <t>108年宣導節約能源支持永續發展環保暨端午包粽子贈弱勢、關懷獨居活動</t>
  </si>
  <si>
    <t>2019全國教育傳承盃客家開口獅民俗體育錦標賽活動</t>
  </si>
  <si>
    <t>關懷老人防跌講座暨節能減碳宣導活動</t>
  </si>
  <si>
    <t>關懷老人健康講習暨節能減碳宣導活動</t>
  </si>
  <si>
    <t>108年健康講座暨用油用電安全宣導活動</t>
  </si>
  <si>
    <t>108年母親節趣味競賽暨節能減碳宣導活動</t>
  </si>
  <si>
    <t>防火防災、節能減碳宣導暨溫馨五月母親節感恩活動</t>
  </si>
  <si>
    <t>歡慶母親節感恩暨支持節能減碳宣導活動</t>
  </si>
  <si>
    <t>108年桃園市柔力球樂活推展暨老人社會福利、節能減碳、電源開發宣導活動</t>
  </si>
  <si>
    <t>108年全國身心障礙者輪椅羽球錦標賽暨宣導節能減碳政策活動</t>
  </si>
  <si>
    <t>108年度優良社區研習暨節約用油、水及資源回收宣導活動</t>
  </si>
  <si>
    <t>社區營造關懷協會銀髮族園藝手作暨節能減碳宣導活動</t>
  </si>
  <si>
    <t>臺南市學甲明宜長青協會</t>
  </si>
  <si>
    <t>108年關懷長幼暨宣導節約能源活動</t>
  </si>
  <si>
    <t>2019兒少保護社區親子–就業安全及節能減碳宣導活動</t>
  </si>
  <si>
    <t>家用瓦斯油品使用安全暨社區親子教育活動</t>
  </si>
  <si>
    <t>2019九芎神農大帝文化祭暨愛護河川珍惜水資源宣導活動</t>
  </si>
  <si>
    <t>苗栗縣薪傳文化推廣協會</t>
  </si>
  <si>
    <t>玄天上帝溯源晉香火盡薪傳暨節能減碳愛地球活動</t>
  </si>
  <si>
    <t>彰化縣麗星歌藝發展協會</t>
  </si>
  <si>
    <t>108年度慶祝母親節暨節能減碳用油用電安全宣導活動</t>
  </si>
  <si>
    <t>健康山城健行暨健康醫療關懷講座活動</t>
  </si>
  <si>
    <t>荖藤林中興國小自行車暨節能減碳宣導活動</t>
  </si>
  <si>
    <t>108年度老人健康講座暨正確用油、節約能源宣導活動</t>
  </si>
  <si>
    <t>防家庭暴力，關懷弱勢家庭、獨居老人，節約用水、用電，節約能源，節能減碳宣導活動</t>
  </si>
  <si>
    <t>南投縣竹生活文化促進協會</t>
  </si>
  <si>
    <t>宣導節約用油暨竹產業小鎮文創活動</t>
  </si>
  <si>
    <t>台南市新營區舊廍社區發展協會</t>
  </si>
  <si>
    <t>108年衛教知識暨節能減碳宣導活動</t>
  </si>
  <si>
    <t>婦女社區健康活動比賽暨宣導節能減碳愛地球之觀念活動</t>
  </si>
  <si>
    <t>樂活銀髮族–才藝表演暨節能減碳宣導活動大會活動</t>
  </si>
  <si>
    <t>正確用油、節約能源及支持中油油品宣導暨非凡女力、綻放風采活動</t>
  </si>
  <si>
    <t>108年度總會盃全國高中職飛鏢錦標賽暨節約能源、推動植樹減碳計畫政令宣導活動</t>
  </si>
  <si>
    <t>南投縣第十屆樂齡盃槌球邀請賽活動</t>
  </si>
  <si>
    <t>108年慶端午關懷弱勢家庭暨宣導節約能源活動</t>
  </si>
  <si>
    <t>關懷弱勢環保節能反毒反暴力宣導活動</t>
  </si>
  <si>
    <t>慶端午粽飄香華陽社區關懷弱勢活動</t>
  </si>
  <si>
    <t>108慶祝母親節暨支持節能減碳宣導活動</t>
  </si>
  <si>
    <t>2019燦爛蜀葵文化季暨節能減碳宣導活動</t>
  </si>
  <si>
    <t>母親節慶祝暨節能減碳宣導活動</t>
  </si>
  <si>
    <t>溫馨母親節關懷暨支持節能減碳宣導活動</t>
  </si>
  <si>
    <t>屏東縣新園鄉田洋環境美化協會</t>
  </si>
  <si>
    <t>2019社區老人健康講座暨節能減碳宣導活動</t>
  </si>
  <si>
    <t>媽祖心～平安祈福暨節能減碳宣導活動</t>
  </si>
  <si>
    <t>楊梅區婦女福利－108年感謝有您母親節音樂響宴暨節能減碳宣導活動</t>
  </si>
  <si>
    <t>銀髮族健康講座暨節能減碳宣導活動</t>
  </si>
  <si>
    <t>全民運動愛地球交流活動暨節能減碳宣導活動</t>
  </si>
  <si>
    <t>花蓮縣原住民新部落發展協會</t>
  </si>
  <si>
    <t>長者三日睦鄰文化趣暨節能減碳宣導活動</t>
  </si>
  <si>
    <t>台南市永康區復華社區發展協會</t>
  </si>
  <si>
    <t>108年度慶祝母親節暨節能減碳活動</t>
  </si>
  <si>
    <t>108年關懷服務老人、節能減碳／淨山健行活動</t>
  </si>
  <si>
    <t>臺中市少林武術協會</t>
  </si>
  <si>
    <t>108年第十屆臺中市推行武術運動有功人員表揚大會暨節約用油宣導倡導關懷弱勢兒童及青少年身心靈成長武術推廣活動</t>
  </si>
  <si>
    <t>天后藝術節-公益文創時尚展演活動</t>
  </si>
  <si>
    <t>108年度端午粽香愛心活動暨節能減碳及郵政業務宣導活動</t>
  </si>
  <si>
    <t>慶祝母親節要活就要動及節約用油宣導活動</t>
  </si>
  <si>
    <t>南投縣名人歌唱協會</t>
  </si>
  <si>
    <t>108年慶祝母親節名人才藝表演暨節能減碳˙水土保持政策宣導活動</t>
  </si>
  <si>
    <t>108年大埔社區竹葉香、肉粽情社區慶端午暨關懷弱勢活動</t>
  </si>
  <si>
    <t>108年粽葉飄香暨節約能源宣導活動</t>
  </si>
  <si>
    <t>桃園市中壢區五福社區發展協會</t>
  </si>
  <si>
    <t>端午關懷、慶賀佳節愛心公益暨節能減碳宣導活動</t>
  </si>
  <si>
    <t>108年度五一勞動節模範勞工表揚大會及宣導節能減碳活動</t>
  </si>
  <si>
    <t>108年慶祝母親節才藝競賽暨宣導節能減碳活動</t>
  </si>
  <si>
    <t>108年度績優社區研習暨社會福利節能減碳節約用電用水宣導活動</t>
  </si>
  <si>
    <t>108年度環境保護節能減碳活動</t>
  </si>
  <si>
    <t>108年度星光盃全國身心障礙者暨長青組槌球錦標賽及宣導節能減碳做環保、中油為大家加油、大家為地球加油活動</t>
  </si>
  <si>
    <t>中華民國108年度華佗五禽之戲第6期研習會暨支持電源開發節能減碳節約用電珍惜水資源節約能源水土保持宣導活動</t>
  </si>
  <si>
    <t>108年節能減碳觀念宣導活動</t>
  </si>
  <si>
    <t>108年慶祝母親節暨節能減碳、資源回收再利用宣導活動</t>
  </si>
  <si>
    <t>臺南市麻豆區安東社區發展協會</t>
  </si>
  <si>
    <t>108年粽香傳愛關懷弱勢並宣導節約能源及減碳之排放活動</t>
  </si>
  <si>
    <t>基隆市全民志工協會</t>
  </si>
  <si>
    <t>環境保育與節約能源研習活動</t>
  </si>
  <si>
    <t>粽葉飄香關懷弱勢家庭暨節約用油宣導活動</t>
  </si>
  <si>
    <t>粽情粽意慶端午活動</t>
  </si>
  <si>
    <t>辦理愛護地球淨源節能體驗活動</t>
    <phoneticPr fontId="18" type="noConversion"/>
  </si>
  <si>
    <t>中港溪地區原住民傳統舞蹈展演活動</t>
    <phoneticPr fontId="18" type="noConversion"/>
  </si>
  <si>
    <t>臺中市大肚區公所</t>
  </si>
  <si>
    <t>臺中市龍井區公所</t>
  </si>
  <si>
    <t>臺中市龍井區龍港國民小學</t>
  </si>
  <si>
    <t>臺中市大肚區追分國民小學</t>
  </si>
  <si>
    <t>桃園市觀音區保生國民小學</t>
  </si>
  <si>
    <t>桃園市觀音區大潭國民小學</t>
  </si>
  <si>
    <t>高雄市立鳳林國民中學</t>
  </si>
  <si>
    <t>高雄市小港區明義國民小學</t>
  </si>
  <si>
    <t>高雄市小港區公所</t>
  </si>
  <si>
    <t>高雄市小港區鳳陽國民小學</t>
  </si>
  <si>
    <t>高雄市小港區漢民國小</t>
  </si>
  <si>
    <t>高雄市小港區青山國小</t>
  </si>
  <si>
    <t>高雄市小港區鳳林國民小學</t>
  </si>
  <si>
    <t>高雄市小港區鳳鳴國民小學</t>
  </si>
  <si>
    <t>桃園市大園區公所</t>
  </si>
  <si>
    <t>高雄市立興仁國民中學</t>
  </si>
  <si>
    <t>臺中市龍井區龍津社區發展協會</t>
    <phoneticPr fontId="18" type="noConversion"/>
  </si>
  <si>
    <t>苗栗縣政府</t>
  </si>
  <si>
    <t>苗栗縣政府</t>
    <phoneticPr fontId="18" type="noConversion"/>
  </si>
  <si>
    <t>社團法人苗栗縣同心身心障礙服務協進會</t>
    <phoneticPr fontId="18" type="noConversion"/>
  </si>
  <si>
    <t>苗栗縣新福安社區促進發展協會</t>
    <phoneticPr fontId="18" type="noConversion"/>
  </si>
  <si>
    <t>金門縣金湖鎮新頭社區發展協會</t>
    <phoneticPr fontId="18" type="noConversion"/>
  </si>
  <si>
    <t>苗栗縣田心快樂發展協會</t>
    <phoneticPr fontId="18" type="noConversion"/>
  </si>
  <si>
    <t>苗栗市大同社區發展協會</t>
    <phoneticPr fontId="18" type="noConversion"/>
  </si>
  <si>
    <t>屏東縣萬巒鄉邀扛打陣體育協會</t>
    <phoneticPr fontId="18" type="noConversion"/>
  </si>
  <si>
    <t>臺中市梧棲區大庄社區發展協會</t>
    <phoneticPr fontId="18" type="noConversion"/>
  </si>
  <si>
    <t>彰化縣溪州鄉三條社區發展協會</t>
    <phoneticPr fontId="18" type="noConversion"/>
  </si>
  <si>
    <t>高雄市消防協會</t>
    <phoneticPr fontId="18" type="noConversion"/>
  </si>
  <si>
    <t>高雄市小港區港明社區發展協會</t>
    <phoneticPr fontId="18" type="noConversion"/>
  </si>
  <si>
    <t>烏林里守望相助隊</t>
    <phoneticPr fontId="18" type="noConversion"/>
  </si>
  <si>
    <t>高雄市政府警察局小港分局志工中隊大林分隊</t>
    <phoneticPr fontId="18" type="noConversion"/>
  </si>
  <si>
    <t>中等學校基金－餐大附中</t>
    <phoneticPr fontId="18" type="noConversion"/>
  </si>
  <si>
    <t>高雄市高松登山健行社</t>
    <phoneticPr fontId="18" type="noConversion"/>
  </si>
  <si>
    <t>高雄市小港區鳳陽國民小學學生家長委員會</t>
    <phoneticPr fontId="18" type="noConversion"/>
  </si>
  <si>
    <t>高雄市車鼓藝陣協會</t>
    <phoneticPr fontId="18" type="noConversion"/>
  </si>
  <si>
    <t>高雄市林園區公所</t>
  </si>
  <si>
    <t>高雄市林園區公所</t>
    <phoneticPr fontId="18" type="noConversion"/>
  </si>
  <si>
    <t>高雄市楠梓區婦女會</t>
    <phoneticPr fontId="18" type="noConversion"/>
  </si>
  <si>
    <t>108年拱照埔心情興祐螺陽心活動</t>
  </si>
  <si>
    <t>興北心連心感恩母親情活動</t>
  </si>
  <si>
    <t>第二屆街頭獻愛心回饋社會公益表演活動</t>
  </si>
  <si>
    <t>108年交通及老幼婦女安全宣導活動</t>
    <phoneticPr fontId="18" type="noConversion"/>
  </si>
  <si>
    <t>寶光豬氣除舊佈新贈春聯暨節能宣導活動</t>
    <phoneticPr fontId="18" type="noConversion"/>
  </si>
  <si>
    <t>108年度藝術與陶藝之結合講座活動</t>
    <phoneticPr fontId="18" type="noConversion"/>
  </si>
  <si>
    <t>健康養生講座暨環保節能宣導活動</t>
    <phoneticPr fontId="18" type="noConversion"/>
  </si>
  <si>
    <t>節能減碳宣導暨健康齊步走健行活動</t>
    <phoneticPr fontId="18" type="noConversion"/>
  </si>
  <si>
    <t>第十八屆理事長盃全縣槌球邀請賽活動</t>
    <phoneticPr fontId="18" type="noConversion"/>
  </si>
  <si>
    <t>水上運動中港溪盃游泳錦標賽活動</t>
    <phoneticPr fontId="18" type="noConversion"/>
  </si>
  <si>
    <t>樂活養生及交通安全宣導活動</t>
    <phoneticPr fontId="18" type="noConversion"/>
  </si>
  <si>
    <t>五月桐花雪親近大自然健行暨淨山活動</t>
    <phoneticPr fontId="18" type="noConversion"/>
  </si>
  <si>
    <t>端午情客家心粽愛心里民關懷活動</t>
    <phoneticPr fontId="18" type="noConversion"/>
  </si>
  <si>
    <t>槌球協會理事長盃全縣槌球邀請賽活動</t>
    <phoneticPr fontId="18" type="noConversion"/>
  </si>
  <si>
    <t>活力山城樂居苗栗多元歌謠歌唱活動</t>
    <phoneticPr fontId="18" type="noConversion"/>
  </si>
  <si>
    <t>快樂相隨賞桐健行活動(客家桐花祭)</t>
    <phoneticPr fontId="18" type="noConversion"/>
  </si>
  <si>
    <t>端午節五月端陽客庄好粽香暨環保活動</t>
    <phoneticPr fontId="18" type="noConversion"/>
  </si>
  <si>
    <t>108年度社區健康講座暨節能宣導活動</t>
    <phoneticPr fontId="18" type="noConversion"/>
  </si>
  <si>
    <t>環保愛台灣作伙來起酵暨節能減碳宣導活動</t>
    <phoneticPr fontId="18" type="noConversion"/>
  </si>
  <si>
    <t>端午情意粽兒童客語演講比賽節能減碳宣導活動</t>
    <phoneticPr fontId="18" type="noConversion"/>
  </si>
  <si>
    <t>節能環保愛地球歌舞宣導活動</t>
    <phoneticPr fontId="18" type="noConversion"/>
  </si>
  <si>
    <t>上半年度道路及環境衛生整理活動</t>
    <phoneticPr fontId="18" type="noConversion"/>
  </si>
  <si>
    <t>全國國小女生乙級壘球聯賽活動</t>
    <phoneticPr fontId="18" type="noConversion"/>
  </si>
  <si>
    <t>義勇特搜協會全民CPR及AED訓練活動</t>
    <phoneticPr fontId="18" type="noConversion"/>
  </si>
  <si>
    <t>社區老人日常生活起居安全教育宣導活動</t>
    <phoneticPr fontId="18" type="noConversion"/>
  </si>
  <si>
    <t>開礦村7鄰設置扶手欄杆工程</t>
    <phoneticPr fontId="18" type="noConversion"/>
  </si>
  <si>
    <t>開礦村108年度充實內部設備工程</t>
    <phoneticPr fontId="18" type="noConversion"/>
  </si>
  <si>
    <t>仁安社區108年度健康促進講座宣導活動</t>
    <phoneticPr fontId="18" type="noConversion"/>
  </si>
  <si>
    <t>108年端午粽飄香活動</t>
    <phoneticPr fontId="18" type="noConversion"/>
  </si>
  <si>
    <t>勞基法修法暨全民節能拒毒宣導活動</t>
    <phoneticPr fontId="18" type="noConversion"/>
  </si>
  <si>
    <t>2019節能減碳用電安全暨酒駕防治宣導活動</t>
    <phoneticPr fontId="18" type="noConversion"/>
  </si>
  <si>
    <t>108年度五月飄香粽暨認識小黑蚊活動</t>
    <phoneticPr fontId="18" type="noConversion"/>
  </si>
  <si>
    <t>公益環保健行活動</t>
    <phoneticPr fontId="18" type="noConversion"/>
  </si>
  <si>
    <t>快樂慶端午活動</t>
    <phoneticPr fontId="18" type="noConversion"/>
  </si>
  <si>
    <t>108年度敬老健康粽管暨節電節能宣導活動</t>
    <phoneticPr fontId="18" type="noConversion"/>
  </si>
  <si>
    <t>行剪山城愛及長幼活動</t>
    <phoneticPr fontId="18" type="noConversion"/>
  </si>
  <si>
    <t>客家老古言語漢文、賢文傳承活動</t>
    <phoneticPr fontId="18" type="noConversion"/>
  </si>
  <si>
    <t>客家布馬陣技藝傳承活動</t>
    <phoneticPr fontId="18" type="noConversion"/>
  </si>
  <si>
    <t>客家歌謠及民俗舞蹈活動</t>
    <phoneticPr fontId="18" type="noConversion"/>
  </si>
  <si>
    <t>民俗技藝玉華情活動</t>
    <phoneticPr fontId="18" type="noConversion"/>
  </si>
  <si>
    <t>關懷銀髮~健康樂活暨節能減碳宣導活動</t>
    <phoneticPr fontId="18" type="noConversion"/>
  </si>
  <si>
    <t>108年度端午節民俗文化與節碳宣導活動</t>
    <phoneticPr fontId="18" type="noConversion"/>
  </si>
  <si>
    <t>村鄰長及調解租佃委員訓練活動</t>
    <phoneticPr fontId="18" type="noConversion"/>
  </si>
  <si>
    <t>108年度慶祝母親節親子同歡活動</t>
    <phoneticPr fontId="18" type="noConversion"/>
  </si>
  <si>
    <t>溫馨慶端午關懷養生活動</t>
    <phoneticPr fontId="18" type="noConversion"/>
  </si>
  <si>
    <t>阿公阿婆ㄟ童謠ㄋ去咧暨節碳宣導活動</t>
    <phoneticPr fontId="18" type="noConversion"/>
  </si>
  <si>
    <t>108年度登革熱防治及節能減碳宣導活動</t>
    <phoneticPr fontId="18" type="noConversion"/>
  </si>
  <si>
    <t>縣長盃苗栗縣身心障礙者槌球賽活動</t>
    <phoneticPr fontId="18" type="noConversion"/>
  </si>
  <si>
    <t>快樂送粽香，環保愛地球活動</t>
    <phoneticPr fontId="18" type="noConversion"/>
  </si>
  <si>
    <t>田美社區媽媽教室客家歌謠班活動</t>
    <phoneticPr fontId="18" type="noConversion"/>
  </si>
  <si>
    <t>苗栗縣108年度端午節關懷弱勢活動</t>
    <phoneticPr fontId="18" type="noConversion"/>
  </si>
  <si>
    <t>108年度巧手拼創意植物生葉搥染活動</t>
    <phoneticPr fontId="18" type="noConversion"/>
  </si>
  <si>
    <t>108年度花現新農村暨關懷身障者活動</t>
    <phoneticPr fontId="18" type="noConversion"/>
  </si>
  <si>
    <t>第三屆【武聖獎】硬筆字書法比賽活動</t>
    <phoneticPr fontId="18" type="noConversion"/>
  </si>
  <si>
    <t>愛我家鄉‧社區產業觀摩活動</t>
    <phoneticPr fontId="18" type="noConversion"/>
  </si>
  <si>
    <t>108加強社區安全防護及環境衛生宣導活動</t>
    <phoneticPr fontId="18" type="noConversion"/>
  </si>
  <si>
    <t>原住民植物染傳統手工藝製作活動</t>
    <phoneticPr fontId="18" type="noConversion"/>
  </si>
  <si>
    <t>108年志工關懷心防癌暨節能減碳宣導活動</t>
    <phoneticPr fontId="18" type="noConversion"/>
  </si>
  <si>
    <t>文化保存暨如何達到樂居山城減碳宣導活動</t>
    <phoneticPr fontId="18" type="noConversion"/>
  </si>
  <si>
    <t>108性別平等&amp;慶端午暨節約能源宣導活動</t>
    <phoneticPr fontId="18" type="noConversion"/>
  </si>
  <si>
    <t>大烏龍區軟式網球錦標賽活動</t>
    <phoneticPr fontId="18" type="noConversion"/>
  </si>
  <si>
    <t>108年度管樂團享樂百分百音樂會活動</t>
    <phoneticPr fontId="18" type="noConversion"/>
  </si>
  <si>
    <t>108年王田社區發展協會土風舞班活動</t>
    <phoneticPr fontId="18" type="noConversion"/>
  </si>
  <si>
    <t>社區文化觀摩暨綠美化教學宣導活動</t>
    <phoneticPr fontId="18" type="noConversion"/>
  </si>
  <si>
    <t>王田社區民防隊自強活動暨節能宣導活動</t>
    <phoneticPr fontId="18" type="noConversion"/>
  </si>
  <si>
    <t>大肚區頂街社區親子登山健行活動</t>
    <phoneticPr fontId="18" type="noConversion"/>
  </si>
  <si>
    <t>民雄綠動四在必行暨義志工表揚活動</t>
    <phoneticPr fontId="18" type="noConversion"/>
  </si>
  <si>
    <t>角帶社區108年端午節珍愛地球活動</t>
    <phoneticPr fontId="18" type="noConversion"/>
  </si>
  <si>
    <t>秀林社區108年端午節關懷弱勢活動</t>
    <phoneticPr fontId="18" type="noConversion"/>
  </si>
  <si>
    <t>寵物活動三部曲活動</t>
    <phoneticPr fontId="18" type="noConversion"/>
  </si>
  <si>
    <t>新城鄉公所原住民族產業發展觀摩活動</t>
    <phoneticPr fontId="18" type="noConversion"/>
  </si>
  <si>
    <t>長安社區協會志工服務隊環保課程活動</t>
    <phoneticPr fontId="18" type="noConversion"/>
  </si>
  <si>
    <t>108新城鄉公所村鄰長政令宣導活動</t>
    <phoneticPr fontId="18" type="noConversion"/>
  </si>
  <si>
    <t>新城鄉康樂社區協會環保生態教育活動</t>
    <phoneticPr fontId="18" type="noConversion"/>
  </si>
  <si>
    <t>經驗研習文化交流優良社區參訪活動</t>
    <phoneticPr fontId="18" type="noConversion"/>
  </si>
  <si>
    <t>社區老人關懷暨樂齡學習中心志工活動</t>
    <phoneticPr fontId="18" type="noConversion"/>
  </si>
  <si>
    <t>婦女成長班108年境外生態參訪活動</t>
    <phoneticPr fontId="18" type="noConversion"/>
  </si>
  <si>
    <t>長壽俱樂部文化之旅活動</t>
    <phoneticPr fontId="18" type="noConversion"/>
  </si>
  <si>
    <t>社區志工隊參訪境外績優社區研習活動</t>
    <phoneticPr fontId="18" type="noConversion"/>
  </si>
  <si>
    <t>108年關懷老中青登山活動</t>
    <phoneticPr fontId="18" type="noConversion"/>
  </si>
  <si>
    <t>108社區環保義工環境衛生參訪活動</t>
    <phoneticPr fontId="18" type="noConversion"/>
  </si>
  <si>
    <t>108年端午節關懷獨居老人活動</t>
    <phoneticPr fontId="18" type="noConversion"/>
  </si>
  <si>
    <t>東海里環保志工13小隊教育參訪活動</t>
    <phoneticPr fontId="18" type="noConversion"/>
  </si>
  <si>
    <t>環保志工隊108年生態教育參訪活動</t>
    <phoneticPr fontId="18" type="noConversion"/>
  </si>
  <si>
    <t>義勇消防婦宣犁份分隊績優人員表揚活動</t>
    <phoneticPr fontId="18" type="noConversion"/>
  </si>
  <si>
    <t>五月節包粽樂融融-關懷老人活動</t>
    <phoneticPr fontId="18" type="noConversion"/>
  </si>
  <si>
    <t>第63屆畢業典禮暨節約能源宣導活動</t>
    <phoneticPr fontId="18" type="noConversion"/>
  </si>
  <si>
    <t>第63屆畢業活動暨節約能源宣導活動</t>
    <phoneticPr fontId="18" type="noConversion"/>
  </si>
  <si>
    <t>草湳社區關懷社區老人健康促進活動</t>
    <phoneticPr fontId="18" type="noConversion"/>
  </si>
  <si>
    <t>龍港國小107學年度學習成發會活動</t>
    <phoneticPr fontId="18" type="noConversion"/>
  </si>
  <si>
    <t>頂草湳成長教室班馬沙溝社區交流活動</t>
    <phoneticPr fontId="18" type="noConversion"/>
  </si>
  <si>
    <t>太極養生拳路推廣協會拳路研習活動</t>
    <phoneticPr fontId="18" type="noConversion"/>
  </si>
  <si>
    <t>麗水環保志工第二小隊生態觀摩活動</t>
    <phoneticPr fontId="18" type="noConversion"/>
  </si>
  <si>
    <t>新庄里環保第八小隊節能減碳宣導活動</t>
    <phoneticPr fontId="18" type="noConversion"/>
  </si>
  <si>
    <t>彰化三條社區慶端午暨節能減碳宣導活動</t>
    <phoneticPr fontId="18" type="noConversion"/>
  </si>
  <si>
    <t>臺中清水博愛協會108節能宣導活動</t>
    <phoneticPr fontId="18" type="noConversion"/>
  </si>
  <si>
    <t>橋頭甲南協會生態觀摩暨節能減碳宣導活動</t>
    <phoneticPr fontId="18" type="noConversion"/>
  </si>
  <si>
    <t>海巡署南部分署辦理屋頂防漏工程</t>
    <phoneticPr fontId="18" type="noConversion"/>
  </si>
  <si>
    <t>茄萣區吉定社區辦理社區環保觀摩活動</t>
    <phoneticPr fontId="18" type="noConversion"/>
  </si>
  <si>
    <t>永安國中辦理39週年校慶運動會活動</t>
    <phoneticPr fontId="18" type="noConversion"/>
  </si>
  <si>
    <t>大寮後庄社區慶端午節幸福粽香活動</t>
    <phoneticPr fontId="18" type="noConversion"/>
  </si>
  <si>
    <t>楠梓宏榮里關懷社區老人慶端午活動</t>
    <phoneticPr fontId="18" type="noConversion"/>
  </si>
  <si>
    <t>惠楠社區關懷社區老人及睦鄰業宣導活動</t>
    <phoneticPr fontId="18" type="noConversion"/>
  </si>
  <si>
    <t>楠梓區民防團基本訓練活動</t>
    <phoneticPr fontId="18" type="noConversion"/>
  </si>
  <si>
    <t>楠梓區婦女會志工服務知能提升活動</t>
    <phoneticPr fontId="18" type="noConversion"/>
  </si>
  <si>
    <t>大寮中庄社區辦區長盃老人槌球賽活動</t>
    <phoneticPr fontId="18" type="noConversion"/>
  </si>
  <si>
    <t>大寮社區關弱提升志工服務知能活動</t>
    <phoneticPr fontId="18" type="noConversion"/>
  </si>
  <si>
    <t>購置空拍機輔助農業天然災害勘查活動</t>
    <phoneticPr fontId="18" type="noConversion"/>
  </si>
  <si>
    <t>梓官里務促進會辦關老健康睦宣導活動</t>
    <phoneticPr fontId="18" type="noConversion"/>
  </si>
  <si>
    <t>楠梓民防分隊戶外技能提升暨睦宣導活動</t>
    <phoneticPr fontId="18" type="noConversion"/>
  </si>
  <si>
    <t>翠屏里活動中心資源回收站遮棚修繕工程</t>
    <phoneticPr fontId="18" type="noConversion"/>
  </si>
  <si>
    <t>大寮昭明社區關老與提升知能活動</t>
    <phoneticPr fontId="18" type="noConversion"/>
  </si>
  <si>
    <t>大寮翁園粽香慶端關懷獨居弱勢活動</t>
    <phoneticPr fontId="18" type="noConversion"/>
  </si>
  <si>
    <t>大寮翁園社區關老與提升業知睦鄰活動</t>
    <phoneticPr fontId="18" type="noConversion"/>
  </si>
  <si>
    <t>大寮消防局中庄鳳凰辦救護提升活動</t>
    <phoneticPr fontId="18" type="noConversion"/>
  </si>
  <si>
    <t>大寮義勇消防中庄辦防火救災專業提升活動</t>
    <phoneticPr fontId="18" type="noConversion"/>
  </si>
  <si>
    <t>大寮江山社區關老及提升戶外養生活動</t>
    <phoneticPr fontId="18" type="noConversion"/>
  </si>
  <si>
    <t>大寮後庄社區關老及提升服務知能活動</t>
    <phoneticPr fontId="18" type="noConversion"/>
  </si>
  <si>
    <t>享平里樂齡老人暨睦鄰業務宣導活動</t>
    <phoneticPr fontId="18" type="noConversion"/>
  </si>
  <si>
    <t>梓官大舍協會辦戶外關老及睦宣導活動</t>
    <phoneticPr fontId="18" type="noConversion"/>
  </si>
  <si>
    <t>大寮提升里長區政業務知能暨睦宣導活動</t>
    <phoneticPr fontId="18" type="noConversion"/>
  </si>
  <si>
    <t>大寮溪寮社區關懷老人及戶外養生活動</t>
    <phoneticPr fontId="18" type="noConversion"/>
  </si>
  <si>
    <t>華山基金會一起愛老人運動會活動</t>
    <phoneticPr fontId="18" type="noConversion"/>
  </si>
  <si>
    <t>創世基金會愛消防傳平安親子園遊會活動</t>
    <phoneticPr fontId="18" type="noConversion"/>
  </si>
  <si>
    <t>大寮義和社區辦理維修監視系統工程</t>
    <phoneticPr fontId="18" type="noConversion"/>
  </si>
  <si>
    <t>大寮溪寮社區關懷老人戶外養生活動</t>
    <phoneticPr fontId="18" type="noConversion"/>
  </si>
  <si>
    <t>楠梓宏毅社區關老弱勢醫療宣導活動</t>
    <phoneticPr fontId="18" type="noConversion"/>
  </si>
  <si>
    <t>鳳林國中空手道校隊訓練活動</t>
    <phoneticPr fontId="18" type="noConversion"/>
  </si>
  <si>
    <t>漢民國小學第28屆畢業系列活動</t>
    <phoneticPr fontId="18" type="noConversion"/>
  </si>
  <si>
    <t>青山國小第67屆畢業典禮系列活動</t>
    <phoneticPr fontId="18" type="noConversion"/>
  </si>
  <si>
    <t>餐旅高中108年畢業典禮活動</t>
    <phoneticPr fontId="18" type="noConversion"/>
  </si>
  <si>
    <t>第二學期中油學業成績進步獎勵活動</t>
    <phoneticPr fontId="18" type="noConversion"/>
  </si>
  <si>
    <t>節能減碳愛護地球節約用油研習會活動</t>
    <phoneticPr fontId="18" type="noConversion"/>
  </si>
  <si>
    <t>鳳鳴國小學年第58屆畢業典禮活動</t>
    <phoneticPr fontId="18" type="noConversion"/>
  </si>
  <si>
    <t>108年表揚優秀漁民暨民俗系列活動</t>
    <phoneticPr fontId="18" type="noConversion"/>
  </si>
  <si>
    <t>沙崙社區辦理守望相助節水電宣導活動</t>
    <phoneticPr fontId="18" type="noConversion"/>
  </si>
  <si>
    <t>汴洲社區辦理KTV歌唱比賽活動</t>
    <phoneticPr fontId="18" type="noConversion"/>
  </si>
  <si>
    <t>后厝社區辦理守望相助隊業務交流活動</t>
    <phoneticPr fontId="18" type="noConversion"/>
  </si>
  <si>
    <t>大園區公所辦理租佃調解業務交流活動</t>
    <phoneticPr fontId="18" type="noConversion"/>
  </si>
  <si>
    <t>健康樂活協會辦理福山植物園體驗活動</t>
    <phoneticPr fontId="18" type="noConversion"/>
  </si>
  <si>
    <t>南上社區辦理關懷長者弱勢家庭活動</t>
    <phoneticPr fontId="18" type="noConversion"/>
  </si>
  <si>
    <t>汴洲社區辦理社區歌唱班教學活動</t>
    <phoneticPr fontId="18" type="noConversion"/>
  </si>
  <si>
    <t>汴洲社區辦理環保淨山睦鄰宣導</t>
    <phoneticPr fontId="18" type="noConversion"/>
  </si>
  <si>
    <t>和馨婦女協會辦理老人交通安全宣導活動</t>
    <phoneticPr fontId="18" type="noConversion"/>
  </si>
  <si>
    <t>後厝里辦理預防登革熱環境整理活動</t>
    <phoneticPr fontId="18" type="noConversion"/>
  </si>
  <si>
    <t>盛興里辦歡慶母親節暨節能減碳活動</t>
    <phoneticPr fontId="18" type="noConversion"/>
  </si>
  <si>
    <t>興仁國中畢業典禮活動</t>
    <phoneticPr fontId="18" type="noConversion"/>
  </si>
  <si>
    <t>助環保文化協會志工生態研習活動</t>
    <phoneticPr fontId="18" type="noConversion"/>
  </si>
  <si>
    <t>興化里購置志工團隊裝備活動</t>
    <phoneticPr fontId="18" type="noConversion"/>
  </si>
  <si>
    <t>草衙里購置巡守隊及志工工作服活動</t>
    <phoneticPr fontId="18" type="noConversion"/>
  </si>
  <si>
    <t>辦竹北里巡守隊暨志工自然生態參訪活動</t>
    <phoneticPr fontId="18" type="noConversion"/>
  </si>
  <si>
    <t>捐鎮港常青會自然生態暨節約能源宣導活動</t>
    <phoneticPr fontId="18" type="noConversion"/>
  </si>
  <si>
    <t>登發國民小學</t>
    <phoneticPr fontId="18" type="noConversion"/>
  </si>
  <si>
    <t>大路觀國民小學</t>
    <phoneticPr fontId="18" type="noConversion"/>
  </si>
  <si>
    <t>美濃國民小學</t>
    <phoneticPr fontId="18" type="noConversion"/>
  </si>
  <si>
    <t>捐贈大路觀國小電腦15台</t>
    <phoneticPr fontId="18" type="noConversion"/>
  </si>
  <si>
    <t>捐贈美濃國小電腦20台</t>
    <phoneticPr fontId="18" type="noConversion"/>
  </si>
  <si>
    <t>中門環保志工端午包粽香活動</t>
    <phoneticPr fontId="18" type="noConversion"/>
  </si>
  <si>
    <t>公益睦鄰促進會粽藝慶端午活動</t>
  </si>
  <si>
    <t>107第9期區管公園綠地之清潔與維護作業活動</t>
  </si>
  <si>
    <t>仁愛社區協會治安觀摩研習活動</t>
  </si>
  <si>
    <t>林園農會會員聯誼觀摩活動</t>
  </si>
  <si>
    <t>中芸社區協會節能減碳觀摩活動</t>
  </si>
  <si>
    <t>五福環保志工宣導節能減碳活動</t>
  </si>
  <si>
    <t>北汕里五月五過端午活動</t>
  </si>
  <si>
    <t>東汕里節能減碳迎端午活動</t>
  </si>
  <si>
    <t>西溪里慶祝端午節活動</t>
  </si>
  <si>
    <t>五福里端午傳粽香愛鄉活動</t>
  </si>
  <si>
    <t>溪州里關懷弱勢節能省水活動</t>
  </si>
  <si>
    <t>港嘴里慶端午關懷弱勢活動</t>
  </si>
  <si>
    <t>文賢里慶端午關懷弱勢活動</t>
  </si>
  <si>
    <t>龔厝里端午關懷弱勢活動</t>
  </si>
  <si>
    <t>中厝里粽夏飄香舞端陽活動</t>
  </si>
  <si>
    <t>溪州社區協會環境清潔活動</t>
  </si>
  <si>
    <t>潭頭社區協會環保生態研習活動</t>
  </si>
  <si>
    <t>頂厝里端午節關懷弱勢活動</t>
  </si>
  <si>
    <t>林內里政令宣導推廣米食活動</t>
  </si>
  <si>
    <t>東林里政令宣導推廣米食活動</t>
  </si>
  <si>
    <t>中門里慶端午關懷弱勢活動</t>
  </si>
  <si>
    <t>中芸里粽夏饗樂慶端午活動</t>
  </si>
  <si>
    <t>林園里慶端午關懷弱勢活動</t>
  </si>
  <si>
    <t>港埔里慶端午暨關懷弱勢活動</t>
  </si>
  <si>
    <t>健康關懷救助金</t>
  </si>
  <si>
    <t>6月份液化石油氣提領運費</t>
  </si>
  <si>
    <t>區公所傳統龍舟錦標賽活動</t>
  </si>
  <si>
    <t>漂流木協會環保觀摩研習活動</t>
  </si>
  <si>
    <t>西汕里歡慶端午活動</t>
  </si>
  <si>
    <t>潭頭里推廣米食活動</t>
  </si>
  <si>
    <t>公益睦鄰環境綠美化研習活動</t>
  </si>
  <si>
    <t>天師廟宗教團體關懷弱勢活動</t>
  </si>
  <si>
    <t>仁愛里粽情飄香慶端陽活動</t>
  </si>
  <si>
    <t>鳳芸社區協會環保生態活動</t>
  </si>
  <si>
    <t>太極拳協會傑出人員宣導活動</t>
  </si>
  <si>
    <t>王公里歡慶端午節政令宣導活動</t>
  </si>
  <si>
    <t>伍雲龍</t>
    <phoneticPr fontId="18" type="noConversion"/>
  </si>
  <si>
    <t>王戴梅</t>
  </si>
  <si>
    <t>余淑芬</t>
  </si>
  <si>
    <t>陳同興</t>
  </si>
  <si>
    <t>急難救助金</t>
    <phoneticPr fontId="18" type="noConversion"/>
  </si>
  <si>
    <t>吳政利</t>
  </si>
  <si>
    <t>柳靖夫</t>
  </si>
  <si>
    <t>陳蘇寶貴</t>
  </si>
  <si>
    <t>黃坤生</t>
  </si>
  <si>
    <t>林忠雄</t>
  </si>
  <si>
    <t>葉志成</t>
  </si>
  <si>
    <t>李文彧</t>
  </si>
  <si>
    <t>張博茗</t>
  </si>
  <si>
    <t>郭清風</t>
  </si>
  <si>
    <t>劉登山</t>
  </si>
  <si>
    <t>蔡進興</t>
  </si>
  <si>
    <t>何武帝</t>
  </si>
  <si>
    <t>邱嫦娥</t>
  </si>
  <si>
    <t>林孟勳</t>
  </si>
  <si>
    <t>宋平市</t>
  </si>
  <si>
    <t>王淑華</t>
  </si>
  <si>
    <t>林暐芹</t>
  </si>
  <si>
    <t>蕭天滿</t>
  </si>
  <si>
    <t>蔡朝力</t>
  </si>
  <si>
    <t>李福順</t>
  </si>
  <si>
    <t>李燕淑</t>
  </si>
  <si>
    <t>黎洪秀盆</t>
  </si>
  <si>
    <t>楊一郎</t>
  </si>
  <si>
    <t>蔡佳璋</t>
  </si>
  <si>
    <t>黃百慶</t>
  </si>
  <si>
    <t>黃月碧</t>
  </si>
  <si>
    <t>何進忠</t>
  </si>
  <si>
    <t>簡尤美雪</t>
  </si>
  <si>
    <t>李萬呈</t>
  </si>
  <si>
    <t>李木池</t>
  </si>
  <si>
    <t>黃勝源</t>
  </si>
  <si>
    <t>洪昭銘</t>
  </si>
  <si>
    <t>詹明德</t>
  </si>
  <si>
    <t>楊杼芩</t>
  </si>
  <si>
    <t>郭平源</t>
  </si>
  <si>
    <t>曾德進</t>
  </si>
  <si>
    <t>王寬裕</t>
  </si>
  <si>
    <t>王周美鳳</t>
  </si>
  <si>
    <t>余慶郎</t>
  </si>
  <si>
    <t>陳水生</t>
  </si>
  <si>
    <t>黃玉英</t>
  </si>
  <si>
    <t>黃玉圓</t>
  </si>
  <si>
    <t>黃泰興</t>
  </si>
  <si>
    <t>郭淑芬</t>
  </si>
  <si>
    <t>張麗花</t>
  </si>
  <si>
    <t>劉昆岳</t>
  </si>
  <si>
    <t>李美麗</t>
  </si>
  <si>
    <t>呂梅平</t>
  </si>
  <si>
    <t>王珮瑾</t>
  </si>
  <si>
    <t>呂季信</t>
  </si>
  <si>
    <t>王朱春枝</t>
    <phoneticPr fontId="18" type="noConversion"/>
  </si>
  <si>
    <t>吳永淑</t>
    <phoneticPr fontId="18" type="noConversion"/>
  </si>
  <si>
    <t>蔡振男</t>
    <phoneticPr fontId="18" type="noConversion"/>
  </si>
  <si>
    <t>陳方素珠</t>
    <phoneticPr fontId="18" type="noConversion"/>
  </si>
  <si>
    <t>洪宏志</t>
    <phoneticPr fontId="18" type="noConversion"/>
  </si>
  <si>
    <t>陳怡秀</t>
    <phoneticPr fontId="18" type="noConversion"/>
  </si>
  <si>
    <t>李岳洲</t>
    <phoneticPr fontId="18" type="noConversion"/>
  </si>
  <si>
    <t>廖宥琮</t>
    <phoneticPr fontId="18" type="noConversion"/>
  </si>
  <si>
    <t>許閃</t>
    <phoneticPr fontId="18" type="noConversion"/>
  </si>
  <si>
    <t>龔國隆</t>
    <phoneticPr fontId="18" type="noConversion"/>
  </si>
  <si>
    <t>黃建霖</t>
    <phoneticPr fontId="18" type="noConversion"/>
  </si>
  <si>
    <t>王文正</t>
    <phoneticPr fontId="18" type="noConversion"/>
  </si>
  <si>
    <t>張梁由</t>
    <phoneticPr fontId="18" type="noConversion"/>
  </si>
  <si>
    <t>徐鐘一</t>
    <phoneticPr fontId="18" type="noConversion"/>
  </si>
  <si>
    <t>林素貞</t>
    <phoneticPr fontId="18" type="noConversion"/>
  </si>
  <si>
    <t>陳偉吉</t>
    <phoneticPr fontId="18" type="noConversion"/>
  </si>
  <si>
    <t>李政雄</t>
    <phoneticPr fontId="18" type="noConversion"/>
  </si>
  <si>
    <t>急難救助金</t>
    <phoneticPr fontId="18" type="noConversion"/>
  </si>
  <si>
    <t>捐助107第9期區管公園綠地之清潔與維護活動</t>
    <phoneticPr fontId="18" type="noConversion"/>
  </si>
  <si>
    <t>107第10期區管公園綠地之清潔與維護活動</t>
    <phoneticPr fontId="18" type="noConversion"/>
  </si>
  <si>
    <t>前鎮里辦環保志工裝備工作服活動</t>
    <phoneticPr fontId="18" type="noConversion"/>
  </si>
  <si>
    <t>林園區公益基金孳息管理委員會</t>
  </si>
  <si>
    <t>捐贈登發國小電腦20台</t>
    <phoneticPr fontId="18" type="noConversion"/>
  </si>
  <si>
    <t>宜蘭縣蘇澳鎮永樂社區發展協會</t>
    <phoneticPr fontId="18" type="noConversion"/>
  </si>
  <si>
    <t>美源街火警急難救助</t>
    <phoneticPr fontId="18" type="noConversion"/>
  </si>
  <si>
    <t>嘉義市</t>
    <phoneticPr fontId="18" type="noConversion"/>
  </si>
  <si>
    <t>翁家</t>
    <phoneticPr fontId="18" type="noConversion"/>
  </si>
  <si>
    <t>合計</t>
    <phoneticPr fontId="18" type="noConversion"/>
  </si>
  <si>
    <t>林正雄</t>
  </si>
  <si>
    <t>余政華</t>
  </si>
  <si>
    <t>邱玉香</t>
  </si>
  <si>
    <t>急難救助金</t>
    <phoneticPr fontId="18" type="noConversion"/>
  </si>
  <si>
    <t>高雄市太極拳推廣協會</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</si>
</sst>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theme="1"/>
      <name val="標楷體"/>
      <family val="4"/>
      <charset val="136"/>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
    <xf numFmtId="0" fontId="0" fillId="0" borderId="0" xfId="0">
      <alignment vertical="center"/>
    </xf>
    <xf numFmtId="0" fontId="0" fillId="33" borderId="0" xfId="0" applyFill="1">
      <alignment vertical="center"/>
    </xf>
    <xf numFmtId="0" fontId="0" fillId="0" borderId="0" xfId="0" applyNumberForma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34" borderId="10" xfId="0" applyFill="1" applyBorder="1" applyAlignment="1">
      <alignment horizontal="left" vertical="center"/>
    </xf>
    <xf numFmtId="0" fontId="0" fillId="0" borderId="0" xfId="0" applyBorder="1" applyAlignment="1">
      <alignment horizontal="left" vertical="center"/>
    </xf>
    <xf numFmtId="0" fontId="19" fillId="0" borderId="10" xfId="0" applyFont="1" applyFill="1" applyBorder="1" applyAlignment="1">
      <alignment horizontal="left"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top" wrapText="1"/>
    </xf>
    <xf numFmtId="0" fontId="19" fillId="0" borderId="0" xfId="0" applyFont="1" applyFill="1" applyAlignment="1">
      <alignment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left" vertical="center" wrapText="1"/>
    </xf>
    <xf numFmtId="0" fontId="19" fillId="0" borderId="0" xfId="0" applyFont="1" applyFill="1" applyAlignment="1">
      <alignment horizontal="left"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2"/>
  <sheetViews>
    <sheetView topLeftCell="A343" zoomScaleNormal="100" workbookViewId="0">
      <selection activeCell="M356" sqref="M356"/>
    </sheetView>
  </sheetViews>
  <sheetFormatPr defaultRowHeight="16.5" x14ac:dyDescent="0.25"/>
  <cols>
    <col min="4" max="4" width="21" style="1" customWidth="1"/>
    <col min="10" max="11" width="8.875" customWidth="1"/>
    <col min="12" max="12" width="8.875" style="1"/>
    <col min="13" max="13" width="35.5" customWidth="1"/>
    <col min="16" max="16" width="10.25" customWidth="1"/>
    <col min="21" max="21" width="31.5" customWidth="1"/>
  </cols>
  <sheetData>
    <row r="1" spans="1:22" x14ac:dyDescent="0.25">
      <c r="A1" t="s">
        <v>0</v>
      </c>
      <c r="B1" t="s">
        <v>1</v>
      </c>
      <c r="C1" t="s">
        <v>2</v>
      </c>
      <c r="D1" s="1" t="s">
        <v>3</v>
      </c>
      <c r="E1" t="s">
        <v>4</v>
      </c>
      <c r="F1" t="s">
        <v>5</v>
      </c>
      <c r="G1" t="s">
        <v>6</v>
      </c>
      <c r="H1" t="s">
        <v>7</v>
      </c>
      <c r="I1" t="s">
        <v>8</v>
      </c>
      <c r="J1" t="s">
        <v>9</v>
      </c>
      <c r="K1" t="s">
        <v>10</v>
      </c>
      <c r="L1" s="1" t="s">
        <v>11</v>
      </c>
      <c r="M1" t="s">
        <v>12</v>
      </c>
      <c r="N1" t="s">
        <v>13</v>
      </c>
      <c r="O1" t="s">
        <v>14</v>
      </c>
      <c r="P1" t="s">
        <v>15</v>
      </c>
      <c r="Q1" t="s">
        <v>16</v>
      </c>
      <c r="R1" t="s">
        <v>17</v>
      </c>
      <c r="S1" t="s">
        <v>18</v>
      </c>
      <c r="T1" t="s">
        <v>19</v>
      </c>
      <c r="U1" t="s">
        <v>20</v>
      </c>
      <c r="V1" t="s">
        <v>21</v>
      </c>
    </row>
    <row r="2" spans="1:22" x14ac:dyDescent="0.25">
      <c r="A2" t="str">
        <f t="shared" ref="A2:A65" si="0">"10807"</f>
        <v>10807</v>
      </c>
      <c r="B2" t="s">
        <v>22</v>
      </c>
      <c r="C2" t="s">
        <v>23</v>
      </c>
      <c r="D2" s="1" t="s">
        <v>24</v>
      </c>
      <c r="E2" t="s">
        <v>25</v>
      </c>
      <c r="F2" t="s">
        <v>26</v>
      </c>
      <c r="G2" t="str">
        <f t="shared" ref="G2:G65" si="1">"37"</f>
        <v>37</v>
      </c>
      <c r="H2" t="str">
        <f t="shared" ref="H2:H33" si="2">"11"</f>
        <v>11</v>
      </c>
      <c r="I2" t="s">
        <v>27</v>
      </c>
      <c r="J2">
        <v>20</v>
      </c>
      <c r="K2">
        <v>20</v>
      </c>
      <c r="L2" s="1">
        <f>K2*1000</f>
        <v>20000</v>
      </c>
      <c r="M2" t="s">
        <v>29</v>
      </c>
      <c r="N2">
        <v>1</v>
      </c>
      <c r="O2" t="str">
        <f t="shared" ref="O2:O33" si="3">"722"</f>
        <v>722</v>
      </c>
      <c r="P2" t="s">
        <v>30</v>
      </c>
      <c r="Q2" t="s">
        <v>27</v>
      </c>
      <c r="R2" t="s">
        <v>31</v>
      </c>
      <c r="S2" t="s">
        <v>28</v>
      </c>
      <c r="T2" t="str">
        <f>"15744227"</f>
        <v>15744227</v>
      </c>
      <c r="U2" t="s">
        <v>32</v>
      </c>
      <c r="V2" t="s">
        <v>33</v>
      </c>
    </row>
    <row r="3" spans="1:22" x14ac:dyDescent="0.25">
      <c r="A3" t="str">
        <f t="shared" si="0"/>
        <v>10807</v>
      </c>
      <c r="B3" t="s">
        <v>22</v>
      </c>
      <c r="C3" t="s">
        <v>23</v>
      </c>
      <c r="D3" s="1" t="s">
        <v>24</v>
      </c>
      <c r="E3" t="s">
        <v>25</v>
      </c>
      <c r="F3" t="s">
        <v>26</v>
      </c>
      <c r="G3" t="str">
        <f t="shared" si="1"/>
        <v>37</v>
      </c>
      <c r="H3" t="str">
        <f t="shared" si="2"/>
        <v>11</v>
      </c>
      <c r="I3" t="s">
        <v>27</v>
      </c>
      <c r="J3">
        <v>20</v>
      </c>
      <c r="K3">
        <v>20</v>
      </c>
      <c r="L3" s="1">
        <f t="shared" ref="L3:L65" si="4">K3*1000</f>
        <v>20000</v>
      </c>
      <c r="M3" t="s">
        <v>34</v>
      </c>
      <c r="N3">
        <v>1</v>
      </c>
      <c r="O3" t="str">
        <f t="shared" si="3"/>
        <v>722</v>
      </c>
      <c r="P3" t="s">
        <v>30</v>
      </c>
      <c r="Q3" t="s">
        <v>27</v>
      </c>
      <c r="R3" t="s">
        <v>31</v>
      </c>
      <c r="S3" t="s">
        <v>28</v>
      </c>
      <c r="T3" t="str">
        <f>"99555255"</f>
        <v>99555255</v>
      </c>
      <c r="U3" t="s">
        <v>35</v>
      </c>
      <c r="V3" t="s">
        <v>36</v>
      </c>
    </row>
    <row r="4" spans="1:22" x14ac:dyDescent="0.25">
      <c r="A4" t="str">
        <f t="shared" si="0"/>
        <v>10807</v>
      </c>
      <c r="B4" t="s">
        <v>22</v>
      </c>
      <c r="C4" t="s">
        <v>23</v>
      </c>
      <c r="D4" s="1" t="s">
        <v>24</v>
      </c>
      <c r="E4" t="s">
        <v>25</v>
      </c>
      <c r="F4" t="s">
        <v>26</v>
      </c>
      <c r="G4" t="str">
        <f t="shared" si="1"/>
        <v>37</v>
      </c>
      <c r="H4" t="str">
        <f t="shared" si="2"/>
        <v>11</v>
      </c>
      <c r="I4" t="s">
        <v>37</v>
      </c>
      <c r="J4">
        <v>30</v>
      </c>
      <c r="K4">
        <v>30</v>
      </c>
      <c r="L4" s="1">
        <f t="shared" si="4"/>
        <v>30000</v>
      </c>
      <c r="M4" t="s">
        <v>38</v>
      </c>
      <c r="N4">
        <v>1</v>
      </c>
      <c r="O4" t="str">
        <f t="shared" si="3"/>
        <v>722</v>
      </c>
      <c r="P4" t="s">
        <v>39</v>
      </c>
      <c r="Q4" t="s">
        <v>37</v>
      </c>
      <c r="R4" t="s">
        <v>31</v>
      </c>
      <c r="S4" t="s">
        <v>28</v>
      </c>
      <c r="T4" t="str">
        <f>"40821432"</f>
        <v>40821432</v>
      </c>
      <c r="U4" t="s">
        <v>40</v>
      </c>
      <c r="V4" t="s">
        <v>41</v>
      </c>
    </row>
    <row r="5" spans="1:22" x14ac:dyDescent="0.25">
      <c r="A5" t="str">
        <f t="shared" si="0"/>
        <v>10807</v>
      </c>
      <c r="B5" t="s">
        <v>22</v>
      </c>
      <c r="C5" t="s">
        <v>23</v>
      </c>
      <c r="D5" s="1" t="s">
        <v>42</v>
      </c>
      <c r="E5" t="s">
        <v>25</v>
      </c>
      <c r="F5" t="s">
        <v>26</v>
      </c>
      <c r="G5" t="str">
        <f t="shared" si="1"/>
        <v>37</v>
      </c>
      <c r="H5" t="str">
        <f t="shared" si="2"/>
        <v>11</v>
      </c>
      <c r="I5" t="s">
        <v>37</v>
      </c>
      <c r="J5">
        <v>50</v>
      </c>
      <c r="K5">
        <v>50</v>
      </c>
      <c r="L5" s="1">
        <f t="shared" si="4"/>
        <v>50000</v>
      </c>
      <c r="M5" t="s">
        <v>43</v>
      </c>
      <c r="N5">
        <v>1</v>
      </c>
      <c r="O5" t="str">
        <f t="shared" si="3"/>
        <v>722</v>
      </c>
      <c r="P5" t="s">
        <v>39</v>
      </c>
      <c r="Q5" t="s">
        <v>37</v>
      </c>
      <c r="R5" t="s">
        <v>31</v>
      </c>
      <c r="S5" t="s">
        <v>28</v>
      </c>
      <c r="T5" t="str">
        <f>"66817200"</f>
        <v>66817200</v>
      </c>
      <c r="U5" t="s">
        <v>44</v>
      </c>
      <c r="V5" t="s">
        <v>45</v>
      </c>
    </row>
    <row r="6" spans="1:22" x14ac:dyDescent="0.25">
      <c r="A6" t="str">
        <f t="shared" si="0"/>
        <v>10807</v>
      </c>
      <c r="B6" t="s">
        <v>22</v>
      </c>
      <c r="C6" t="s">
        <v>23</v>
      </c>
      <c r="D6" s="1" t="s">
        <v>42</v>
      </c>
      <c r="E6" t="s">
        <v>25</v>
      </c>
      <c r="F6" t="s">
        <v>26</v>
      </c>
      <c r="G6" t="str">
        <f t="shared" si="1"/>
        <v>37</v>
      </c>
      <c r="H6" t="str">
        <f t="shared" si="2"/>
        <v>11</v>
      </c>
      <c r="I6" t="s">
        <v>37</v>
      </c>
      <c r="J6">
        <v>50</v>
      </c>
      <c r="K6">
        <v>50</v>
      </c>
      <c r="L6" s="1">
        <f t="shared" si="4"/>
        <v>50000</v>
      </c>
      <c r="M6" t="s">
        <v>46</v>
      </c>
      <c r="N6">
        <v>1</v>
      </c>
      <c r="O6" t="str">
        <f t="shared" si="3"/>
        <v>722</v>
      </c>
      <c r="P6" t="s">
        <v>39</v>
      </c>
      <c r="Q6" t="s">
        <v>37</v>
      </c>
      <c r="R6" t="s">
        <v>31</v>
      </c>
      <c r="S6" t="s">
        <v>28</v>
      </c>
      <c r="T6" t="str">
        <f>"10178434"</f>
        <v>10178434</v>
      </c>
      <c r="U6" t="s">
        <v>47</v>
      </c>
      <c r="V6" t="s">
        <v>48</v>
      </c>
    </row>
    <row r="7" spans="1:22" x14ac:dyDescent="0.25">
      <c r="A7" t="str">
        <f t="shared" si="0"/>
        <v>10807</v>
      </c>
      <c r="B7" t="s">
        <v>22</v>
      </c>
      <c r="C7" t="s">
        <v>23</v>
      </c>
      <c r="D7" s="1" t="s">
        <v>42</v>
      </c>
      <c r="E7" t="s">
        <v>25</v>
      </c>
      <c r="F7" t="s">
        <v>26</v>
      </c>
      <c r="G7" t="str">
        <f t="shared" si="1"/>
        <v>37</v>
      </c>
      <c r="H7" t="str">
        <f t="shared" si="2"/>
        <v>11</v>
      </c>
      <c r="I7" t="s">
        <v>37</v>
      </c>
      <c r="J7">
        <v>60</v>
      </c>
      <c r="K7">
        <v>60</v>
      </c>
      <c r="L7" s="1">
        <f t="shared" si="4"/>
        <v>60000</v>
      </c>
      <c r="M7" t="s">
        <v>49</v>
      </c>
      <c r="N7">
        <v>1</v>
      </c>
      <c r="O7" t="str">
        <f t="shared" si="3"/>
        <v>722</v>
      </c>
      <c r="P7" t="s">
        <v>39</v>
      </c>
      <c r="Q7" t="s">
        <v>37</v>
      </c>
      <c r="R7" t="s">
        <v>31</v>
      </c>
      <c r="S7" t="s">
        <v>28</v>
      </c>
      <c r="T7" t="str">
        <f>"36958097"</f>
        <v>36958097</v>
      </c>
      <c r="U7" t="s">
        <v>50</v>
      </c>
      <c r="V7" t="s">
        <v>51</v>
      </c>
    </row>
    <row r="8" spans="1:22" x14ac:dyDescent="0.25">
      <c r="A8" t="str">
        <f t="shared" si="0"/>
        <v>10807</v>
      </c>
      <c r="B8" t="s">
        <v>22</v>
      </c>
      <c r="C8" t="s">
        <v>23</v>
      </c>
      <c r="D8" s="1" t="s">
        <v>42</v>
      </c>
      <c r="E8" t="s">
        <v>25</v>
      </c>
      <c r="F8" t="s">
        <v>26</v>
      </c>
      <c r="G8" t="str">
        <f t="shared" si="1"/>
        <v>37</v>
      </c>
      <c r="H8" t="str">
        <f t="shared" si="2"/>
        <v>11</v>
      </c>
      <c r="I8" t="s">
        <v>37</v>
      </c>
      <c r="J8">
        <v>20</v>
      </c>
      <c r="K8">
        <v>20</v>
      </c>
      <c r="L8" s="1">
        <f t="shared" si="4"/>
        <v>20000</v>
      </c>
      <c r="M8" t="s">
        <v>52</v>
      </c>
      <c r="N8">
        <v>1</v>
      </c>
      <c r="O8" t="str">
        <f t="shared" si="3"/>
        <v>722</v>
      </c>
      <c r="P8" t="s">
        <v>39</v>
      </c>
      <c r="Q8" t="s">
        <v>37</v>
      </c>
      <c r="R8" t="s">
        <v>31</v>
      </c>
      <c r="S8" t="s">
        <v>28</v>
      </c>
      <c r="T8" t="str">
        <f>"06577682"</f>
        <v>06577682</v>
      </c>
      <c r="U8" t="s">
        <v>53</v>
      </c>
      <c r="V8" t="s">
        <v>54</v>
      </c>
    </row>
    <row r="9" spans="1:22" x14ac:dyDescent="0.25">
      <c r="A9" t="str">
        <f t="shared" si="0"/>
        <v>10807</v>
      </c>
      <c r="B9" t="s">
        <v>22</v>
      </c>
      <c r="C9" t="s">
        <v>23</v>
      </c>
      <c r="D9" s="1" t="s">
        <v>55</v>
      </c>
      <c r="E9" t="s">
        <v>25</v>
      </c>
      <c r="F9" t="s">
        <v>26</v>
      </c>
      <c r="G9" t="str">
        <f t="shared" si="1"/>
        <v>37</v>
      </c>
      <c r="H9" t="str">
        <f t="shared" si="2"/>
        <v>11</v>
      </c>
      <c r="I9" t="s">
        <v>27</v>
      </c>
      <c r="J9">
        <v>30</v>
      </c>
      <c r="K9">
        <v>30</v>
      </c>
      <c r="L9" s="1">
        <f t="shared" si="4"/>
        <v>30000</v>
      </c>
      <c r="M9" t="s">
        <v>56</v>
      </c>
      <c r="N9">
        <v>1</v>
      </c>
      <c r="O9" t="str">
        <f t="shared" si="3"/>
        <v>722</v>
      </c>
      <c r="P9" t="s">
        <v>30</v>
      </c>
      <c r="Q9" t="s">
        <v>27</v>
      </c>
      <c r="R9" t="s">
        <v>31</v>
      </c>
      <c r="S9" t="s">
        <v>28</v>
      </c>
      <c r="T9" t="str">
        <f>"19305018"</f>
        <v>19305018</v>
      </c>
      <c r="U9" t="s">
        <v>57</v>
      </c>
      <c r="V9" t="s">
        <v>58</v>
      </c>
    </row>
    <row r="10" spans="1:22" x14ac:dyDescent="0.25">
      <c r="A10" t="str">
        <f t="shared" si="0"/>
        <v>10807</v>
      </c>
      <c r="B10" t="s">
        <v>22</v>
      </c>
      <c r="C10" t="s">
        <v>23</v>
      </c>
      <c r="D10" s="1" t="s">
        <v>55</v>
      </c>
      <c r="E10" t="s">
        <v>25</v>
      </c>
      <c r="F10" t="s">
        <v>26</v>
      </c>
      <c r="G10" t="str">
        <f t="shared" si="1"/>
        <v>37</v>
      </c>
      <c r="H10" t="str">
        <f t="shared" si="2"/>
        <v>11</v>
      </c>
      <c r="I10" t="s">
        <v>37</v>
      </c>
      <c r="J10">
        <v>20</v>
      </c>
      <c r="K10">
        <v>20</v>
      </c>
      <c r="L10" s="1">
        <f t="shared" si="4"/>
        <v>20000</v>
      </c>
      <c r="M10" t="s">
        <v>59</v>
      </c>
      <c r="N10">
        <v>1</v>
      </c>
      <c r="O10" t="str">
        <f t="shared" si="3"/>
        <v>722</v>
      </c>
      <c r="P10" t="s">
        <v>39</v>
      </c>
      <c r="Q10" t="s">
        <v>37</v>
      </c>
      <c r="R10" t="s">
        <v>31</v>
      </c>
      <c r="S10" t="s">
        <v>28</v>
      </c>
      <c r="T10" t="str">
        <f>"97969125"</f>
        <v>97969125</v>
      </c>
      <c r="U10" t="s">
        <v>60</v>
      </c>
      <c r="V10" t="s">
        <v>61</v>
      </c>
    </row>
    <row r="11" spans="1:22" x14ac:dyDescent="0.25">
      <c r="A11" t="str">
        <f t="shared" si="0"/>
        <v>10807</v>
      </c>
      <c r="B11" t="s">
        <v>22</v>
      </c>
      <c r="C11" t="s">
        <v>23</v>
      </c>
      <c r="D11" s="1" t="s">
        <v>55</v>
      </c>
      <c r="E11" t="s">
        <v>25</v>
      </c>
      <c r="F11" t="s">
        <v>26</v>
      </c>
      <c r="G11" t="str">
        <f t="shared" si="1"/>
        <v>37</v>
      </c>
      <c r="H11" t="str">
        <f t="shared" si="2"/>
        <v>11</v>
      </c>
      <c r="I11" t="s">
        <v>27</v>
      </c>
      <c r="J11">
        <v>20</v>
      </c>
      <c r="K11">
        <v>20</v>
      </c>
      <c r="L11" s="1">
        <f t="shared" si="4"/>
        <v>20000</v>
      </c>
      <c r="M11" t="s">
        <v>62</v>
      </c>
      <c r="N11">
        <v>1</v>
      </c>
      <c r="O11" t="str">
        <f t="shared" si="3"/>
        <v>722</v>
      </c>
      <c r="P11" t="s">
        <v>30</v>
      </c>
      <c r="Q11" t="s">
        <v>27</v>
      </c>
      <c r="R11" t="s">
        <v>31</v>
      </c>
      <c r="S11" t="s">
        <v>28</v>
      </c>
      <c r="T11" t="str">
        <f>"42520812"</f>
        <v>42520812</v>
      </c>
      <c r="U11" t="s">
        <v>63</v>
      </c>
      <c r="V11" t="s">
        <v>64</v>
      </c>
    </row>
    <row r="12" spans="1:22" x14ac:dyDescent="0.25">
      <c r="A12" t="str">
        <f t="shared" si="0"/>
        <v>10807</v>
      </c>
      <c r="B12" t="s">
        <v>22</v>
      </c>
      <c r="C12" t="s">
        <v>23</v>
      </c>
      <c r="D12" s="1" t="s">
        <v>55</v>
      </c>
      <c r="E12" t="s">
        <v>25</v>
      </c>
      <c r="F12" t="s">
        <v>26</v>
      </c>
      <c r="G12" t="str">
        <f t="shared" si="1"/>
        <v>37</v>
      </c>
      <c r="H12" t="str">
        <f t="shared" si="2"/>
        <v>11</v>
      </c>
      <c r="I12" t="s">
        <v>37</v>
      </c>
      <c r="J12">
        <v>62.945</v>
      </c>
      <c r="K12">
        <v>62.945</v>
      </c>
      <c r="L12" s="1">
        <f t="shared" si="4"/>
        <v>62945</v>
      </c>
      <c r="M12" t="s">
        <v>65</v>
      </c>
      <c r="N12">
        <v>1</v>
      </c>
      <c r="O12" t="str">
        <f t="shared" si="3"/>
        <v>722</v>
      </c>
      <c r="P12" t="s">
        <v>39</v>
      </c>
      <c r="Q12" t="s">
        <v>37</v>
      </c>
      <c r="R12" t="s">
        <v>31</v>
      </c>
      <c r="S12" t="s">
        <v>28</v>
      </c>
      <c r="T12" t="str">
        <f>"77010316"</f>
        <v>77010316</v>
      </c>
      <c r="U12" t="s">
        <v>66</v>
      </c>
      <c r="V12" t="s">
        <v>67</v>
      </c>
    </row>
    <row r="13" spans="1:22" x14ac:dyDescent="0.25">
      <c r="A13" t="str">
        <f t="shared" si="0"/>
        <v>10807</v>
      </c>
      <c r="B13" t="s">
        <v>22</v>
      </c>
      <c r="C13" t="s">
        <v>23</v>
      </c>
      <c r="D13" s="1" t="s">
        <v>68</v>
      </c>
      <c r="E13" t="s">
        <v>25</v>
      </c>
      <c r="F13" t="s">
        <v>26</v>
      </c>
      <c r="G13" t="str">
        <f t="shared" si="1"/>
        <v>37</v>
      </c>
      <c r="H13" t="str">
        <f t="shared" si="2"/>
        <v>11</v>
      </c>
      <c r="I13" t="s">
        <v>27</v>
      </c>
      <c r="J13">
        <v>50</v>
      </c>
      <c r="K13">
        <v>50</v>
      </c>
      <c r="L13" s="1">
        <f t="shared" si="4"/>
        <v>50000</v>
      </c>
      <c r="M13" t="s">
        <v>69</v>
      </c>
      <c r="N13">
        <v>1</v>
      </c>
      <c r="O13" t="str">
        <f t="shared" si="3"/>
        <v>722</v>
      </c>
      <c r="P13" t="s">
        <v>30</v>
      </c>
      <c r="Q13" t="s">
        <v>27</v>
      </c>
      <c r="R13" t="s">
        <v>31</v>
      </c>
      <c r="S13" t="s">
        <v>28</v>
      </c>
      <c r="T13" t="str">
        <f>"48703084"</f>
        <v>48703084</v>
      </c>
      <c r="U13" t="s">
        <v>70</v>
      </c>
      <c r="V13" t="s">
        <v>71</v>
      </c>
    </row>
    <row r="14" spans="1:22" x14ac:dyDescent="0.25">
      <c r="A14" t="str">
        <f t="shared" si="0"/>
        <v>10807</v>
      </c>
      <c r="B14" t="s">
        <v>22</v>
      </c>
      <c r="C14" t="s">
        <v>23</v>
      </c>
      <c r="D14" s="1" t="s">
        <v>68</v>
      </c>
      <c r="E14" t="s">
        <v>25</v>
      </c>
      <c r="F14" t="s">
        <v>26</v>
      </c>
      <c r="G14" t="str">
        <f t="shared" si="1"/>
        <v>37</v>
      </c>
      <c r="H14" t="str">
        <f t="shared" si="2"/>
        <v>11</v>
      </c>
      <c r="I14" t="s">
        <v>37</v>
      </c>
      <c r="J14">
        <v>20</v>
      </c>
      <c r="K14">
        <v>20</v>
      </c>
      <c r="L14" s="1">
        <f t="shared" si="4"/>
        <v>20000</v>
      </c>
      <c r="M14" t="s">
        <v>72</v>
      </c>
      <c r="N14">
        <v>1</v>
      </c>
      <c r="O14" t="str">
        <f t="shared" si="3"/>
        <v>722</v>
      </c>
      <c r="P14" t="s">
        <v>39</v>
      </c>
      <c r="Q14" t="s">
        <v>37</v>
      </c>
      <c r="R14" t="s">
        <v>31</v>
      </c>
      <c r="S14" t="s">
        <v>28</v>
      </c>
      <c r="T14" t="str">
        <f>"25474031"</f>
        <v>25474031</v>
      </c>
      <c r="U14" t="s">
        <v>73</v>
      </c>
      <c r="V14" t="s">
        <v>74</v>
      </c>
    </row>
    <row r="15" spans="1:22" x14ac:dyDescent="0.25">
      <c r="A15" t="str">
        <f t="shared" si="0"/>
        <v>10807</v>
      </c>
      <c r="B15" t="s">
        <v>22</v>
      </c>
      <c r="C15" t="s">
        <v>23</v>
      </c>
      <c r="D15" s="1" t="s">
        <v>68</v>
      </c>
      <c r="E15" t="s">
        <v>25</v>
      </c>
      <c r="F15" t="s">
        <v>26</v>
      </c>
      <c r="G15" t="str">
        <f t="shared" si="1"/>
        <v>37</v>
      </c>
      <c r="H15" t="str">
        <f t="shared" si="2"/>
        <v>11</v>
      </c>
      <c r="I15" t="s">
        <v>37</v>
      </c>
      <c r="J15">
        <v>50</v>
      </c>
      <c r="K15">
        <v>50</v>
      </c>
      <c r="L15" s="1">
        <f t="shared" si="4"/>
        <v>50000</v>
      </c>
      <c r="M15" t="s">
        <v>75</v>
      </c>
      <c r="N15">
        <v>1</v>
      </c>
      <c r="O15" t="str">
        <f t="shared" si="3"/>
        <v>722</v>
      </c>
      <c r="P15" t="s">
        <v>39</v>
      </c>
      <c r="Q15" t="s">
        <v>37</v>
      </c>
      <c r="R15" t="s">
        <v>31</v>
      </c>
      <c r="S15" t="s">
        <v>28</v>
      </c>
      <c r="T15" t="str">
        <f>"30318412"</f>
        <v>30318412</v>
      </c>
      <c r="U15" t="s">
        <v>76</v>
      </c>
      <c r="V15" t="s">
        <v>77</v>
      </c>
    </row>
    <row r="16" spans="1:22" x14ac:dyDescent="0.25">
      <c r="A16" t="str">
        <f t="shared" si="0"/>
        <v>10807</v>
      </c>
      <c r="B16" t="s">
        <v>22</v>
      </c>
      <c r="C16" t="s">
        <v>23</v>
      </c>
      <c r="D16" s="1" t="s">
        <v>68</v>
      </c>
      <c r="E16" t="s">
        <v>25</v>
      </c>
      <c r="F16" t="s">
        <v>26</v>
      </c>
      <c r="G16" t="str">
        <f t="shared" si="1"/>
        <v>37</v>
      </c>
      <c r="H16" t="str">
        <f t="shared" si="2"/>
        <v>11</v>
      </c>
      <c r="I16" t="s">
        <v>37</v>
      </c>
      <c r="J16">
        <v>20</v>
      </c>
      <c r="K16">
        <v>20</v>
      </c>
      <c r="L16" s="1">
        <f t="shared" si="4"/>
        <v>20000</v>
      </c>
      <c r="M16" t="s">
        <v>78</v>
      </c>
      <c r="N16">
        <v>1</v>
      </c>
      <c r="O16" t="str">
        <f t="shared" si="3"/>
        <v>722</v>
      </c>
      <c r="P16" t="s">
        <v>39</v>
      </c>
      <c r="Q16" t="s">
        <v>37</v>
      </c>
      <c r="R16" t="s">
        <v>31</v>
      </c>
      <c r="S16" t="s">
        <v>28</v>
      </c>
      <c r="T16" t="str">
        <f>"72377118"</f>
        <v>72377118</v>
      </c>
      <c r="U16" t="s">
        <v>79</v>
      </c>
      <c r="V16" t="s">
        <v>80</v>
      </c>
    </row>
    <row r="17" spans="1:22" x14ac:dyDescent="0.25">
      <c r="A17" t="str">
        <f t="shared" si="0"/>
        <v>10807</v>
      </c>
      <c r="B17" t="s">
        <v>22</v>
      </c>
      <c r="C17" t="s">
        <v>23</v>
      </c>
      <c r="D17" s="1" t="s">
        <v>81</v>
      </c>
      <c r="E17" t="s">
        <v>25</v>
      </c>
      <c r="F17" t="s">
        <v>26</v>
      </c>
      <c r="G17" t="str">
        <f t="shared" si="1"/>
        <v>37</v>
      </c>
      <c r="H17" t="str">
        <f t="shared" si="2"/>
        <v>11</v>
      </c>
      <c r="I17" t="s">
        <v>27</v>
      </c>
      <c r="J17">
        <v>15</v>
      </c>
      <c r="K17">
        <v>15</v>
      </c>
      <c r="L17" s="1">
        <f t="shared" si="4"/>
        <v>15000</v>
      </c>
      <c r="M17" t="s">
        <v>82</v>
      </c>
      <c r="N17">
        <v>1</v>
      </c>
      <c r="O17" t="str">
        <f t="shared" si="3"/>
        <v>722</v>
      </c>
      <c r="P17" t="s">
        <v>30</v>
      </c>
      <c r="Q17" t="s">
        <v>27</v>
      </c>
      <c r="R17" t="s">
        <v>31</v>
      </c>
      <c r="S17" t="s">
        <v>28</v>
      </c>
      <c r="T17" t="str">
        <f>"31535535"</f>
        <v>31535535</v>
      </c>
      <c r="U17" t="s">
        <v>83</v>
      </c>
      <c r="V17" t="s">
        <v>84</v>
      </c>
    </row>
    <row r="18" spans="1:22" x14ac:dyDescent="0.25">
      <c r="A18" t="str">
        <f t="shared" si="0"/>
        <v>10807</v>
      </c>
      <c r="B18" t="s">
        <v>22</v>
      </c>
      <c r="C18" t="s">
        <v>23</v>
      </c>
      <c r="D18" s="1" t="s">
        <v>81</v>
      </c>
      <c r="E18" t="s">
        <v>25</v>
      </c>
      <c r="F18" t="s">
        <v>26</v>
      </c>
      <c r="G18" t="str">
        <f t="shared" si="1"/>
        <v>37</v>
      </c>
      <c r="H18" t="str">
        <f t="shared" si="2"/>
        <v>11</v>
      </c>
      <c r="I18" t="s">
        <v>37</v>
      </c>
      <c r="J18">
        <v>30</v>
      </c>
      <c r="K18">
        <v>30</v>
      </c>
      <c r="L18" s="1">
        <f t="shared" si="4"/>
        <v>30000</v>
      </c>
      <c r="M18" t="s">
        <v>85</v>
      </c>
      <c r="N18">
        <v>1</v>
      </c>
      <c r="O18" t="str">
        <f t="shared" si="3"/>
        <v>722</v>
      </c>
      <c r="P18" t="s">
        <v>39</v>
      </c>
      <c r="Q18" t="s">
        <v>37</v>
      </c>
      <c r="R18" t="s">
        <v>31</v>
      </c>
      <c r="S18" t="s">
        <v>28</v>
      </c>
      <c r="T18" t="str">
        <f>"36869237"</f>
        <v>36869237</v>
      </c>
      <c r="U18" t="s">
        <v>86</v>
      </c>
      <c r="V18" t="s">
        <v>87</v>
      </c>
    </row>
    <row r="19" spans="1:22" x14ac:dyDescent="0.25">
      <c r="A19" t="str">
        <f t="shared" si="0"/>
        <v>10807</v>
      </c>
      <c r="B19" t="s">
        <v>22</v>
      </c>
      <c r="C19" t="s">
        <v>23</v>
      </c>
      <c r="D19" s="1" t="s">
        <v>81</v>
      </c>
      <c r="E19" t="s">
        <v>25</v>
      </c>
      <c r="F19" t="s">
        <v>26</v>
      </c>
      <c r="G19" t="str">
        <f t="shared" si="1"/>
        <v>37</v>
      </c>
      <c r="H19" t="str">
        <f t="shared" si="2"/>
        <v>11</v>
      </c>
      <c r="I19" t="s">
        <v>37</v>
      </c>
      <c r="J19">
        <v>20</v>
      </c>
      <c r="K19">
        <v>20</v>
      </c>
      <c r="L19" s="1">
        <f t="shared" si="4"/>
        <v>20000</v>
      </c>
      <c r="M19" t="s">
        <v>88</v>
      </c>
      <c r="N19">
        <v>1</v>
      </c>
      <c r="O19" t="str">
        <f t="shared" si="3"/>
        <v>722</v>
      </c>
      <c r="P19" t="s">
        <v>39</v>
      </c>
      <c r="Q19" t="s">
        <v>37</v>
      </c>
      <c r="R19" t="s">
        <v>31</v>
      </c>
      <c r="S19" t="s">
        <v>28</v>
      </c>
      <c r="T19" t="str">
        <f>"13263363"</f>
        <v>13263363</v>
      </c>
      <c r="U19" t="s">
        <v>89</v>
      </c>
      <c r="V19" t="s">
        <v>90</v>
      </c>
    </row>
    <row r="20" spans="1:22" x14ac:dyDescent="0.25">
      <c r="A20" t="str">
        <f t="shared" si="0"/>
        <v>10807</v>
      </c>
      <c r="B20" t="s">
        <v>22</v>
      </c>
      <c r="C20" t="s">
        <v>23</v>
      </c>
      <c r="D20" s="1" t="s">
        <v>81</v>
      </c>
      <c r="E20" t="s">
        <v>25</v>
      </c>
      <c r="F20" t="s">
        <v>26</v>
      </c>
      <c r="G20" t="str">
        <f t="shared" si="1"/>
        <v>37</v>
      </c>
      <c r="H20" t="str">
        <f t="shared" si="2"/>
        <v>11</v>
      </c>
      <c r="I20" t="s">
        <v>27</v>
      </c>
      <c r="J20">
        <v>100</v>
      </c>
      <c r="K20">
        <v>100</v>
      </c>
      <c r="L20" s="1">
        <f t="shared" si="4"/>
        <v>100000</v>
      </c>
      <c r="M20" t="s">
        <v>91</v>
      </c>
      <c r="N20">
        <v>1</v>
      </c>
      <c r="O20" t="str">
        <f t="shared" si="3"/>
        <v>722</v>
      </c>
      <c r="P20" t="s">
        <v>30</v>
      </c>
      <c r="Q20" t="s">
        <v>27</v>
      </c>
      <c r="R20" t="s">
        <v>31</v>
      </c>
      <c r="S20" t="s">
        <v>28</v>
      </c>
      <c r="T20" t="str">
        <f>"31769322"</f>
        <v>31769322</v>
      </c>
      <c r="U20" t="s">
        <v>92</v>
      </c>
      <c r="V20" t="s">
        <v>93</v>
      </c>
    </row>
    <row r="21" spans="1:22" x14ac:dyDescent="0.25">
      <c r="A21" t="str">
        <f t="shared" si="0"/>
        <v>10807</v>
      </c>
      <c r="B21" t="s">
        <v>22</v>
      </c>
      <c r="C21" t="s">
        <v>23</v>
      </c>
      <c r="D21" s="1" t="s">
        <v>94</v>
      </c>
      <c r="E21" t="s">
        <v>25</v>
      </c>
      <c r="F21" t="s">
        <v>26</v>
      </c>
      <c r="G21" t="str">
        <f t="shared" si="1"/>
        <v>37</v>
      </c>
      <c r="H21" t="str">
        <f t="shared" si="2"/>
        <v>11</v>
      </c>
      <c r="I21" t="s">
        <v>37</v>
      </c>
      <c r="J21">
        <v>100</v>
      </c>
      <c r="K21">
        <v>100</v>
      </c>
      <c r="L21" s="1">
        <f t="shared" si="4"/>
        <v>100000</v>
      </c>
      <c r="M21" t="s">
        <v>95</v>
      </c>
      <c r="N21">
        <v>1</v>
      </c>
      <c r="O21" t="str">
        <f t="shared" si="3"/>
        <v>722</v>
      </c>
      <c r="P21" t="s">
        <v>39</v>
      </c>
      <c r="Q21" t="s">
        <v>37</v>
      </c>
      <c r="R21" t="s">
        <v>31</v>
      </c>
      <c r="S21" t="s">
        <v>28</v>
      </c>
      <c r="T21" t="str">
        <f>"99038611"</f>
        <v>99038611</v>
      </c>
      <c r="U21" t="s">
        <v>96</v>
      </c>
      <c r="V21" t="s">
        <v>97</v>
      </c>
    </row>
    <row r="22" spans="1:22" x14ac:dyDescent="0.25">
      <c r="A22" t="str">
        <f t="shared" si="0"/>
        <v>10807</v>
      </c>
      <c r="B22" t="s">
        <v>22</v>
      </c>
      <c r="C22" t="s">
        <v>23</v>
      </c>
      <c r="D22" s="1" t="s">
        <v>94</v>
      </c>
      <c r="E22" t="s">
        <v>25</v>
      </c>
      <c r="F22" t="s">
        <v>26</v>
      </c>
      <c r="G22" t="str">
        <f t="shared" si="1"/>
        <v>37</v>
      </c>
      <c r="H22" t="str">
        <f t="shared" si="2"/>
        <v>11</v>
      </c>
      <c r="I22" t="s">
        <v>37</v>
      </c>
      <c r="J22">
        <v>20</v>
      </c>
      <c r="K22">
        <v>20</v>
      </c>
      <c r="L22" s="1">
        <f t="shared" si="4"/>
        <v>20000</v>
      </c>
      <c r="M22" t="s">
        <v>98</v>
      </c>
      <c r="N22">
        <v>1</v>
      </c>
      <c r="O22" t="str">
        <f t="shared" si="3"/>
        <v>722</v>
      </c>
      <c r="P22" t="s">
        <v>39</v>
      </c>
      <c r="Q22" t="s">
        <v>37</v>
      </c>
      <c r="R22" t="s">
        <v>31</v>
      </c>
      <c r="S22" t="s">
        <v>28</v>
      </c>
      <c r="T22" t="str">
        <f>"21957198"</f>
        <v>21957198</v>
      </c>
      <c r="U22" t="s">
        <v>99</v>
      </c>
      <c r="V22" t="s">
        <v>100</v>
      </c>
    </row>
    <row r="23" spans="1:22" x14ac:dyDescent="0.25">
      <c r="A23" t="str">
        <f t="shared" si="0"/>
        <v>10807</v>
      </c>
      <c r="B23" t="s">
        <v>22</v>
      </c>
      <c r="C23" t="s">
        <v>23</v>
      </c>
      <c r="D23" s="1" t="s">
        <v>94</v>
      </c>
      <c r="E23" t="s">
        <v>25</v>
      </c>
      <c r="F23" t="s">
        <v>26</v>
      </c>
      <c r="G23" t="str">
        <f t="shared" si="1"/>
        <v>37</v>
      </c>
      <c r="H23" t="str">
        <f t="shared" si="2"/>
        <v>11</v>
      </c>
      <c r="I23" t="s">
        <v>37</v>
      </c>
      <c r="J23">
        <v>20</v>
      </c>
      <c r="K23">
        <v>20</v>
      </c>
      <c r="L23" s="1">
        <f t="shared" si="4"/>
        <v>20000</v>
      </c>
      <c r="M23" t="s">
        <v>101</v>
      </c>
      <c r="N23">
        <v>1</v>
      </c>
      <c r="O23" t="str">
        <f t="shared" si="3"/>
        <v>722</v>
      </c>
      <c r="P23" t="s">
        <v>39</v>
      </c>
      <c r="Q23" t="s">
        <v>37</v>
      </c>
      <c r="R23" t="s">
        <v>31</v>
      </c>
      <c r="S23" t="s">
        <v>28</v>
      </c>
      <c r="T23" t="str">
        <f>"15731406"</f>
        <v>15731406</v>
      </c>
      <c r="U23" t="s">
        <v>102</v>
      </c>
      <c r="V23" t="s">
        <v>103</v>
      </c>
    </row>
    <row r="24" spans="1:22" x14ac:dyDescent="0.25">
      <c r="A24" t="str">
        <f t="shared" si="0"/>
        <v>10807</v>
      </c>
      <c r="B24" t="s">
        <v>22</v>
      </c>
      <c r="C24" t="s">
        <v>23</v>
      </c>
      <c r="D24" s="1" t="s">
        <v>94</v>
      </c>
      <c r="E24" t="s">
        <v>25</v>
      </c>
      <c r="F24" t="s">
        <v>26</v>
      </c>
      <c r="G24" t="str">
        <f t="shared" si="1"/>
        <v>37</v>
      </c>
      <c r="H24" t="str">
        <f t="shared" si="2"/>
        <v>11</v>
      </c>
      <c r="I24" t="s">
        <v>37</v>
      </c>
      <c r="J24">
        <v>30</v>
      </c>
      <c r="K24">
        <v>30</v>
      </c>
      <c r="L24" s="1">
        <f t="shared" si="4"/>
        <v>30000</v>
      </c>
      <c r="M24" t="s">
        <v>98</v>
      </c>
      <c r="N24">
        <v>1</v>
      </c>
      <c r="O24" t="str">
        <f t="shared" si="3"/>
        <v>722</v>
      </c>
      <c r="P24" t="s">
        <v>39</v>
      </c>
      <c r="Q24" t="s">
        <v>37</v>
      </c>
      <c r="R24" t="s">
        <v>31</v>
      </c>
      <c r="S24" t="s">
        <v>28</v>
      </c>
      <c r="T24" t="str">
        <f>"17032809"</f>
        <v>17032809</v>
      </c>
      <c r="U24" t="s">
        <v>104</v>
      </c>
      <c r="V24" t="s">
        <v>105</v>
      </c>
    </row>
    <row r="25" spans="1:22" x14ac:dyDescent="0.25">
      <c r="A25" t="str">
        <f t="shared" si="0"/>
        <v>10807</v>
      </c>
      <c r="B25" t="s">
        <v>22</v>
      </c>
      <c r="C25" t="s">
        <v>23</v>
      </c>
      <c r="D25" s="1" t="s">
        <v>106</v>
      </c>
      <c r="E25" t="s">
        <v>25</v>
      </c>
      <c r="F25" t="s">
        <v>26</v>
      </c>
      <c r="G25" t="str">
        <f t="shared" si="1"/>
        <v>37</v>
      </c>
      <c r="H25" t="str">
        <f t="shared" si="2"/>
        <v>11</v>
      </c>
      <c r="I25" t="s">
        <v>37</v>
      </c>
      <c r="J25">
        <v>300</v>
      </c>
      <c r="K25">
        <v>300</v>
      </c>
      <c r="L25" s="1">
        <f t="shared" si="4"/>
        <v>300000</v>
      </c>
      <c r="M25" t="s">
        <v>107</v>
      </c>
      <c r="N25">
        <v>1</v>
      </c>
      <c r="O25" t="str">
        <f t="shared" si="3"/>
        <v>722</v>
      </c>
      <c r="P25" t="s">
        <v>39</v>
      </c>
      <c r="Q25" t="s">
        <v>37</v>
      </c>
      <c r="R25" t="s">
        <v>31</v>
      </c>
      <c r="S25" t="s">
        <v>28</v>
      </c>
      <c r="T25" t="str">
        <f>"41350819"</f>
        <v>41350819</v>
      </c>
      <c r="U25" t="s">
        <v>108</v>
      </c>
      <c r="V25" t="s">
        <v>109</v>
      </c>
    </row>
    <row r="26" spans="1:22" x14ac:dyDescent="0.25">
      <c r="A26" t="str">
        <f t="shared" si="0"/>
        <v>10807</v>
      </c>
      <c r="B26" t="s">
        <v>22</v>
      </c>
      <c r="C26" t="s">
        <v>23</v>
      </c>
      <c r="D26" s="1" t="s">
        <v>110</v>
      </c>
      <c r="E26" t="s">
        <v>25</v>
      </c>
      <c r="F26" t="s">
        <v>26</v>
      </c>
      <c r="G26" t="str">
        <f t="shared" si="1"/>
        <v>37</v>
      </c>
      <c r="H26" t="str">
        <f t="shared" si="2"/>
        <v>11</v>
      </c>
      <c r="I26" t="s">
        <v>37</v>
      </c>
      <c r="J26">
        <v>20</v>
      </c>
      <c r="K26">
        <v>20</v>
      </c>
      <c r="L26" s="1">
        <f t="shared" si="4"/>
        <v>20000</v>
      </c>
      <c r="M26" t="s">
        <v>111</v>
      </c>
      <c r="N26">
        <v>1</v>
      </c>
      <c r="O26" t="str">
        <f t="shared" si="3"/>
        <v>722</v>
      </c>
      <c r="P26" t="s">
        <v>39</v>
      </c>
      <c r="Q26" t="s">
        <v>37</v>
      </c>
      <c r="R26" t="s">
        <v>31</v>
      </c>
      <c r="S26" t="s">
        <v>28</v>
      </c>
      <c r="T26" t="str">
        <f>"37657696"</f>
        <v>37657696</v>
      </c>
      <c r="U26" t="s">
        <v>112</v>
      </c>
      <c r="V26" t="s">
        <v>113</v>
      </c>
    </row>
    <row r="27" spans="1:22" x14ac:dyDescent="0.25">
      <c r="A27" t="str">
        <f t="shared" si="0"/>
        <v>10807</v>
      </c>
      <c r="B27" t="s">
        <v>22</v>
      </c>
      <c r="C27" t="s">
        <v>23</v>
      </c>
      <c r="D27" s="1" t="s">
        <v>110</v>
      </c>
      <c r="E27" t="s">
        <v>25</v>
      </c>
      <c r="F27" t="s">
        <v>26</v>
      </c>
      <c r="G27" t="str">
        <f t="shared" si="1"/>
        <v>37</v>
      </c>
      <c r="H27" t="str">
        <f t="shared" si="2"/>
        <v>11</v>
      </c>
      <c r="I27" t="s">
        <v>37</v>
      </c>
      <c r="J27">
        <v>20</v>
      </c>
      <c r="K27">
        <v>20</v>
      </c>
      <c r="L27" s="1">
        <f t="shared" si="4"/>
        <v>20000</v>
      </c>
      <c r="M27" t="s">
        <v>114</v>
      </c>
      <c r="N27">
        <v>1</v>
      </c>
      <c r="O27" t="str">
        <f t="shared" si="3"/>
        <v>722</v>
      </c>
      <c r="P27" t="s">
        <v>39</v>
      </c>
      <c r="Q27" t="s">
        <v>37</v>
      </c>
      <c r="R27" t="s">
        <v>31</v>
      </c>
      <c r="S27" t="s">
        <v>28</v>
      </c>
      <c r="T27" t="str">
        <f>"19994865"</f>
        <v>19994865</v>
      </c>
      <c r="U27" t="s">
        <v>115</v>
      </c>
      <c r="V27" t="s">
        <v>116</v>
      </c>
    </row>
    <row r="28" spans="1:22" x14ac:dyDescent="0.25">
      <c r="A28" t="str">
        <f t="shared" si="0"/>
        <v>10807</v>
      </c>
      <c r="B28" t="s">
        <v>22</v>
      </c>
      <c r="C28" t="s">
        <v>23</v>
      </c>
      <c r="D28" s="1" t="s">
        <v>110</v>
      </c>
      <c r="E28" t="s">
        <v>25</v>
      </c>
      <c r="F28" t="s">
        <v>26</v>
      </c>
      <c r="G28" t="str">
        <f t="shared" si="1"/>
        <v>37</v>
      </c>
      <c r="H28" t="str">
        <f t="shared" si="2"/>
        <v>11</v>
      </c>
      <c r="I28" t="s">
        <v>37</v>
      </c>
      <c r="J28">
        <v>100</v>
      </c>
      <c r="K28">
        <v>100</v>
      </c>
      <c r="L28" s="1">
        <f t="shared" si="4"/>
        <v>100000</v>
      </c>
      <c r="M28" t="s">
        <v>117</v>
      </c>
      <c r="N28">
        <v>1</v>
      </c>
      <c r="O28" t="str">
        <f t="shared" si="3"/>
        <v>722</v>
      </c>
      <c r="P28" t="s">
        <v>39</v>
      </c>
      <c r="Q28" t="s">
        <v>37</v>
      </c>
      <c r="R28" t="s">
        <v>31</v>
      </c>
      <c r="S28" t="s">
        <v>28</v>
      </c>
      <c r="T28" t="str">
        <f>"38524219"</f>
        <v>38524219</v>
      </c>
      <c r="U28" t="s">
        <v>118</v>
      </c>
      <c r="V28" t="s">
        <v>119</v>
      </c>
    </row>
    <row r="29" spans="1:22" x14ac:dyDescent="0.25">
      <c r="A29" t="str">
        <f t="shared" si="0"/>
        <v>10807</v>
      </c>
      <c r="B29" t="s">
        <v>22</v>
      </c>
      <c r="C29" t="s">
        <v>23</v>
      </c>
      <c r="D29" s="1" t="s">
        <v>110</v>
      </c>
      <c r="E29" t="s">
        <v>25</v>
      </c>
      <c r="F29" t="s">
        <v>26</v>
      </c>
      <c r="G29" t="str">
        <f t="shared" si="1"/>
        <v>37</v>
      </c>
      <c r="H29" t="str">
        <f t="shared" si="2"/>
        <v>11</v>
      </c>
      <c r="I29" t="s">
        <v>27</v>
      </c>
      <c r="J29">
        <v>20</v>
      </c>
      <c r="K29">
        <v>20</v>
      </c>
      <c r="L29" s="1">
        <f t="shared" si="4"/>
        <v>20000</v>
      </c>
      <c r="M29" t="s">
        <v>120</v>
      </c>
      <c r="N29">
        <v>1</v>
      </c>
      <c r="O29" t="str">
        <f t="shared" si="3"/>
        <v>722</v>
      </c>
      <c r="P29" t="s">
        <v>30</v>
      </c>
      <c r="Q29" t="s">
        <v>27</v>
      </c>
      <c r="R29" t="s">
        <v>31</v>
      </c>
      <c r="S29" t="s">
        <v>28</v>
      </c>
      <c r="T29" t="str">
        <f>"10451587"</f>
        <v>10451587</v>
      </c>
      <c r="U29" t="s">
        <v>121</v>
      </c>
      <c r="V29" t="s">
        <v>122</v>
      </c>
    </row>
    <row r="30" spans="1:22" x14ac:dyDescent="0.25">
      <c r="A30" t="str">
        <f t="shared" si="0"/>
        <v>10807</v>
      </c>
      <c r="B30" t="s">
        <v>22</v>
      </c>
      <c r="C30" t="s">
        <v>23</v>
      </c>
      <c r="D30" s="1" t="s">
        <v>123</v>
      </c>
      <c r="E30" t="s">
        <v>25</v>
      </c>
      <c r="F30" t="s">
        <v>26</v>
      </c>
      <c r="G30" t="str">
        <f t="shared" si="1"/>
        <v>37</v>
      </c>
      <c r="H30" t="str">
        <f t="shared" si="2"/>
        <v>11</v>
      </c>
      <c r="I30" t="s">
        <v>27</v>
      </c>
      <c r="J30">
        <v>20</v>
      </c>
      <c r="K30">
        <v>20</v>
      </c>
      <c r="L30" s="1">
        <f t="shared" si="4"/>
        <v>20000</v>
      </c>
      <c r="M30" t="s">
        <v>124</v>
      </c>
      <c r="N30">
        <v>1</v>
      </c>
      <c r="O30" t="str">
        <f t="shared" si="3"/>
        <v>722</v>
      </c>
      <c r="P30" t="s">
        <v>30</v>
      </c>
      <c r="Q30" t="s">
        <v>27</v>
      </c>
      <c r="R30" t="s">
        <v>31</v>
      </c>
      <c r="S30" t="s">
        <v>28</v>
      </c>
      <c r="T30" t="str">
        <f>"15563175"</f>
        <v>15563175</v>
      </c>
      <c r="U30" t="s">
        <v>125</v>
      </c>
      <c r="V30" t="s">
        <v>126</v>
      </c>
    </row>
    <row r="31" spans="1:22" x14ac:dyDescent="0.25">
      <c r="A31" t="str">
        <f t="shared" si="0"/>
        <v>10807</v>
      </c>
      <c r="B31" t="s">
        <v>22</v>
      </c>
      <c r="C31" t="s">
        <v>23</v>
      </c>
      <c r="D31" s="1" t="s">
        <v>123</v>
      </c>
      <c r="E31" t="s">
        <v>25</v>
      </c>
      <c r="F31" t="s">
        <v>26</v>
      </c>
      <c r="G31" t="str">
        <f t="shared" si="1"/>
        <v>37</v>
      </c>
      <c r="H31" t="str">
        <f t="shared" si="2"/>
        <v>11</v>
      </c>
      <c r="I31" t="s">
        <v>27</v>
      </c>
      <c r="J31">
        <v>20</v>
      </c>
      <c r="K31">
        <v>20</v>
      </c>
      <c r="L31" s="1">
        <f t="shared" si="4"/>
        <v>20000</v>
      </c>
      <c r="M31" t="s">
        <v>127</v>
      </c>
      <c r="N31">
        <v>1</v>
      </c>
      <c r="O31" t="str">
        <f t="shared" si="3"/>
        <v>722</v>
      </c>
      <c r="P31" t="s">
        <v>30</v>
      </c>
      <c r="Q31" t="s">
        <v>27</v>
      </c>
      <c r="R31" t="s">
        <v>31</v>
      </c>
      <c r="S31" t="s">
        <v>28</v>
      </c>
      <c r="T31" t="str">
        <f>"78607088"</f>
        <v>78607088</v>
      </c>
      <c r="U31" t="s">
        <v>128</v>
      </c>
      <c r="V31" t="s">
        <v>129</v>
      </c>
    </row>
    <row r="32" spans="1:22" x14ac:dyDescent="0.25">
      <c r="A32" t="str">
        <f t="shared" si="0"/>
        <v>10807</v>
      </c>
      <c r="B32" t="s">
        <v>22</v>
      </c>
      <c r="C32" t="s">
        <v>23</v>
      </c>
      <c r="D32" s="1" t="s">
        <v>123</v>
      </c>
      <c r="E32" t="s">
        <v>25</v>
      </c>
      <c r="F32" t="s">
        <v>26</v>
      </c>
      <c r="G32" t="str">
        <f t="shared" si="1"/>
        <v>37</v>
      </c>
      <c r="H32" t="str">
        <f t="shared" si="2"/>
        <v>11</v>
      </c>
      <c r="I32" t="s">
        <v>27</v>
      </c>
      <c r="J32">
        <v>20</v>
      </c>
      <c r="K32">
        <v>20</v>
      </c>
      <c r="L32" s="1">
        <f t="shared" si="4"/>
        <v>20000</v>
      </c>
      <c r="M32" t="s">
        <v>130</v>
      </c>
      <c r="N32">
        <v>1</v>
      </c>
      <c r="O32" t="str">
        <f t="shared" si="3"/>
        <v>722</v>
      </c>
      <c r="P32" t="s">
        <v>30</v>
      </c>
      <c r="Q32" t="s">
        <v>27</v>
      </c>
      <c r="R32" t="s">
        <v>31</v>
      </c>
      <c r="S32" t="s">
        <v>28</v>
      </c>
      <c r="T32" t="str">
        <f>"30153973"</f>
        <v>30153973</v>
      </c>
      <c r="U32" t="s">
        <v>131</v>
      </c>
      <c r="V32" t="s">
        <v>132</v>
      </c>
    </row>
    <row r="33" spans="1:22" x14ac:dyDescent="0.25">
      <c r="A33" t="str">
        <f t="shared" si="0"/>
        <v>10807</v>
      </c>
      <c r="B33" t="s">
        <v>22</v>
      </c>
      <c r="C33" t="s">
        <v>23</v>
      </c>
      <c r="D33" s="1" t="s">
        <v>123</v>
      </c>
      <c r="E33" t="s">
        <v>25</v>
      </c>
      <c r="F33" t="s">
        <v>26</v>
      </c>
      <c r="G33" t="str">
        <f t="shared" si="1"/>
        <v>37</v>
      </c>
      <c r="H33" t="str">
        <f t="shared" si="2"/>
        <v>11</v>
      </c>
      <c r="I33" t="s">
        <v>37</v>
      </c>
      <c r="J33">
        <v>20</v>
      </c>
      <c r="K33">
        <v>20</v>
      </c>
      <c r="L33" s="1">
        <f t="shared" si="4"/>
        <v>20000</v>
      </c>
      <c r="M33" t="s">
        <v>133</v>
      </c>
      <c r="N33">
        <v>1</v>
      </c>
      <c r="O33" t="str">
        <f t="shared" si="3"/>
        <v>722</v>
      </c>
      <c r="P33" t="s">
        <v>39</v>
      </c>
      <c r="Q33" t="s">
        <v>37</v>
      </c>
      <c r="R33" t="s">
        <v>31</v>
      </c>
      <c r="S33" t="s">
        <v>28</v>
      </c>
      <c r="T33" t="str">
        <f>"95827966"</f>
        <v>95827966</v>
      </c>
      <c r="U33" t="s">
        <v>134</v>
      </c>
      <c r="V33" t="s">
        <v>135</v>
      </c>
    </row>
    <row r="34" spans="1:22" x14ac:dyDescent="0.25">
      <c r="A34" t="str">
        <f t="shared" si="0"/>
        <v>10807</v>
      </c>
      <c r="B34" t="s">
        <v>22</v>
      </c>
      <c r="C34" t="s">
        <v>23</v>
      </c>
      <c r="D34" s="1" t="s">
        <v>136</v>
      </c>
      <c r="E34" t="s">
        <v>25</v>
      </c>
      <c r="F34" t="s">
        <v>26</v>
      </c>
      <c r="G34" t="str">
        <f t="shared" si="1"/>
        <v>37</v>
      </c>
      <c r="H34" t="str">
        <f t="shared" ref="H34:H65" si="5">"11"</f>
        <v>11</v>
      </c>
      <c r="I34" t="s">
        <v>37</v>
      </c>
      <c r="J34">
        <v>20</v>
      </c>
      <c r="K34">
        <v>20</v>
      </c>
      <c r="L34" s="1">
        <f t="shared" si="4"/>
        <v>20000</v>
      </c>
      <c r="M34" t="s">
        <v>137</v>
      </c>
      <c r="N34">
        <v>1</v>
      </c>
      <c r="O34" t="str">
        <f t="shared" ref="O34:O58" si="6">"722"</f>
        <v>722</v>
      </c>
      <c r="P34" t="s">
        <v>39</v>
      </c>
      <c r="Q34" t="s">
        <v>37</v>
      </c>
      <c r="R34" t="s">
        <v>31</v>
      </c>
      <c r="S34" t="s">
        <v>28</v>
      </c>
      <c r="T34" t="str">
        <f>"15561367"</f>
        <v>15561367</v>
      </c>
      <c r="U34" t="s">
        <v>138</v>
      </c>
      <c r="V34" t="s">
        <v>139</v>
      </c>
    </row>
    <row r="35" spans="1:22" x14ac:dyDescent="0.25">
      <c r="A35" t="str">
        <f t="shared" si="0"/>
        <v>10807</v>
      </c>
      <c r="B35" t="s">
        <v>22</v>
      </c>
      <c r="C35" t="s">
        <v>23</v>
      </c>
      <c r="D35" s="1" t="s">
        <v>136</v>
      </c>
      <c r="E35" t="s">
        <v>25</v>
      </c>
      <c r="F35" t="s">
        <v>26</v>
      </c>
      <c r="G35" t="str">
        <f t="shared" si="1"/>
        <v>37</v>
      </c>
      <c r="H35" t="str">
        <f t="shared" si="5"/>
        <v>11</v>
      </c>
      <c r="I35" t="s">
        <v>37</v>
      </c>
      <c r="J35">
        <v>20</v>
      </c>
      <c r="K35">
        <v>20</v>
      </c>
      <c r="L35" s="1">
        <f t="shared" si="4"/>
        <v>20000</v>
      </c>
      <c r="M35" t="s">
        <v>140</v>
      </c>
      <c r="N35">
        <v>1</v>
      </c>
      <c r="O35" t="str">
        <f t="shared" si="6"/>
        <v>722</v>
      </c>
      <c r="P35" t="s">
        <v>39</v>
      </c>
      <c r="Q35" t="s">
        <v>37</v>
      </c>
      <c r="R35" t="s">
        <v>31</v>
      </c>
      <c r="S35" t="s">
        <v>28</v>
      </c>
      <c r="T35" t="str">
        <f>"17026671"</f>
        <v>17026671</v>
      </c>
      <c r="U35" t="s">
        <v>141</v>
      </c>
      <c r="V35" t="s">
        <v>142</v>
      </c>
    </row>
    <row r="36" spans="1:22" x14ac:dyDescent="0.25">
      <c r="A36" t="str">
        <f t="shared" si="0"/>
        <v>10807</v>
      </c>
      <c r="B36" t="s">
        <v>22</v>
      </c>
      <c r="C36" t="s">
        <v>23</v>
      </c>
      <c r="D36" s="1" t="s">
        <v>136</v>
      </c>
      <c r="E36" t="s">
        <v>25</v>
      </c>
      <c r="F36" t="s">
        <v>26</v>
      </c>
      <c r="G36" t="str">
        <f t="shared" si="1"/>
        <v>37</v>
      </c>
      <c r="H36" t="str">
        <f t="shared" si="5"/>
        <v>11</v>
      </c>
      <c r="I36" t="s">
        <v>37</v>
      </c>
      <c r="J36">
        <v>20</v>
      </c>
      <c r="K36">
        <v>20</v>
      </c>
      <c r="L36" s="1">
        <f t="shared" si="4"/>
        <v>20000</v>
      </c>
      <c r="M36" t="s">
        <v>143</v>
      </c>
      <c r="N36">
        <v>1</v>
      </c>
      <c r="O36" t="str">
        <f t="shared" si="6"/>
        <v>722</v>
      </c>
      <c r="P36" t="s">
        <v>39</v>
      </c>
      <c r="Q36" t="s">
        <v>37</v>
      </c>
      <c r="R36" t="s">
        <v>31</v>
      </c>
      <c r="S36" t="s">
        <v>28</v>
      </c>
      <c r="T36" t="str">
        <f>"40941648"</f>
        <v>40941648</v>
      </c>
      <c r="U36" t="s">
        <v>144</v>
      </c>
      <c r="V36" t="s">
        <v>145</v>
      </c>
    </row>
    <row r="37" spans="1:22" x14ac:dyDescent="0.25">
      <c r="A37" t="str">
        <f t="shared" si="0"/>
        <v>10807</v>
      </c>
      <c r="B37" t="s">
        <v>22</v>
      </c>
      <c r="C37" t="s">
        <v>23</v>
      </c>
      <c r="D37" s="1" t="s">
        <v>136</v>
      </c>
      <c r="E37" t="s">
        <v>25</v>
      </c>
      <c r="F37" t="s">
        <v>26</v>
      </c>
      <c r="G37" t="str">
        <f t="shared" si="1"/>
        <v>37</v>
      </c>
      <c r="H37" t="str">
        <f t="shared" si="5"/>
        <v>11</v>
      </c>
      <c r="I37" t="s">
        <v>37</v>
      </c>
      <c r="J37">
        <v>20</v>
      </c>
      <c r="K37">
        <v>20</v>
      </c>
      <c r="L37" s="1">
        <f t="shared" si="4"/>
        <v>20000</v>
      </c>
      <c r="M37" t="s">
        <v>146</v>
      </c>
      <c r="N37">
        <v>1</v>
      </c>
      <c r="O37" t="str">
        <f t="shared" si="6"/>
        <v>722</v>
      </c>
      <c r="P37" t="s">
        <v>39</v>
      </c>
      <c r="Q37" t="s">
        <v>37</v>
      </c>
      <c r="R37" t="s">
        <v>31</v>
      </c>
      <c r="S37" t="s">
        <v>28</v>
      </c>
      <c r="T37" t="str">
        <f>"17706804"</f>
        <v>17706804</v>
      </c>
      <c r="U37" t="s">
        <v>147</v>
      </c>
      <c r="V37" t="s">
        <v>148</v>
      </c>
    </row>
    <row r="38" spans="1:22" x14ac:dyDescent="0.25">
      <c r="A38" t="str">
        <f t="shared" si="0"/>
        <v>10807</v>
      </c>
      <c r="B38" t="s">
        <v>22</v>
      </c>
      <c r="C38" t="s">
        <v>23</v>
      </c>
      <c r="D38" s="1" t="s">
        <v>149</v>
      </c>
      <c r="E38" t="s">
        <v>25</v>
      </c>
      <c r="F38" t="s">
        <v>26</v>
      </c>
      <c r="G38" t="str">
        <f t="shared" si="1"/>
        <v>37</v>
      </c>
      <c r="H38" t="str">
        <f t="shared" si="5"/>
        <v>11</v>
      </c>
      <c r="I38" t="s">
        <v>37</v>
      </c>
      <c r="J38">
        <v>30</v>
      </c>
      <c r="K38">
        <v>30</v>
      </c>
      <c r="L38" s="1">
        <f t="shared" si="4"/>
        <v>30000</v>
      </c>
      <c r="M38" t="s">
        <v>150</v>
      </c>
      <c r="N38">
        <v>1</v>
      </c>
      <c r="O38" t="str">
        <f t="shared" si="6"/>
        <v>722</v>
      </c>
      <c r="P38" t="s">
        <v>39</v>
      </c>
      <c r="Q38" t="s">
        <v>37</v>
      </c>
      <c r="R38" t="s">
        <v>31</v>
      </c>
      <c r="S38" t="s">
        <v>28</v>
      </c>
      <c r="T38" t="str">
        <f>"25777886"</f>
        <v>25777886</v>
      </c>
      <c r="U38" t="s">
        <v>151</v>
      </c>
      <c r="V38" t="s">
        <v>152</v>
      </c>
    </row>
    <row r="39" spans="1:22" x14ac:dyDescent="0.25">
      <c r="A39" t="str">
        <f t="shared" si="0"/>
        <v>10807</v>
      </c>
      <c r="B39" t="s">
        <v>22</v>
      </c>
      <c r="C39" t="s">
        <v>23</v>
      </c>
      <c r="D39" s="1" t="s">
        <v>149</v>
      </c>
      <c r="E39" t="s">
        <v>25</v>
      </c>
      <c r="F39" t="s">
        <v>26</v>
      </c>
      <c r="G39" t="str">
        <f t="shared" si="1"/>
        <v>37</v>
      </c>
      <c r="H39" t="str">
        <f t="shared" si="5"/>
        <v>11</v>
      </c>
      <c r="I39" t="s">
        <v>37</v>
      </c>
      <c r="J39">
        <v>20</v>
      </c>
      <c r="K39">
        <v>20</v>
      </c>
      <c r="L39" s="1">
        <f t="shared" si="4"/>
        <v>20000</v>
      </c>
      <c r="M39" t="s">
        <v>140</v>
      </c>
      <c r="N39">
        <v>1</v>
      </c>
      <c r="O39" t="str">
        <f t="shared" si="6"/>
        <v>722</v>
      </c>
      <c r="P39" t="s">
        <v>39</v>
      </c>
      <c r="Q39" t="s">
        <v>37</v>
      </c>
      <c r="R39" t="s">
        <v>31</v>
      </c>
      <c r="S39" t="s">
        <v>28</v>
      </c>
      <c r="T39" t="str">
        <f>"95810769"</f>
        <v>95810769</v>
      </c>
      <c r="U39" t="s">
        <v>153</v>
      </c>
      <c r="V39" t="s">
        <v>154</v>
      </c>
    </row>
    <row r="40" spans="1:22" x14ac:dyDescent="0.25">
      <c r="A40" t="str">
        <f t="shared" si="0"/>
        <v>10807</v>
      </c>
      <c r="B40" t="s">
        <v>22</v>
      </c>
      <c r="C40" t="s">
        <v>23</v>
      </c>
      <c r="D40" s="1" t="s">
        <v>149</v>
      </c>
      <c r="E40" t="s">
        <v>25</v>
      </c>
      <c r="F40" t="s">
        <v>26</v>
      </c>
      <c r="G40" t="str">
        <f t="shared" si="1"/>
        <v>37</v>
      </c>
      <c r="H40" t="str">
        <f t="shared" si="5"/>
        <v>11</v>
      </c>
      <c r="I40" t="s">
        <v>37</v>
      </c>
      <c r="J40">
        <v>50</v>
      </c>
      <c r="K40">
        <v>50</v>
      </c>
      <c r="L40" s="1">
        <f t="shared" si="4"/>
        <v>50000</v>
      </c>
      <c r="M40" t="s">
        <v>155</v>
      </c>
      <c r="N40">
        <v>1</v>
      </c>
      <c r="O40" t="str">
        <f t="shared" si="6"/>
        <v>722</v>
      </c>
      <c r="P40" t="s">
        <v>39</v>
      </c>
      <c r="Q40" t="s">
        <v>37</v>
      </c>
      <c r="R40" t="s">
        <v>31</v>
      </c>
      <c r="S40" t="s">
        <v>28</v>
      </c>
      <c r="T40" t="str">
        <f>"99569954"</f>
        <v>99569954</v>
      </c>
      <c r="U40" t="s">
        <v>156</v>
      </c>
      <c r="V40" t="s">
        <v>157</v>
      </c>
    </row>
    <row r="41" spans="1:22" x14ac:dyDescent="0.25">
      <c r="A41" t="str">
        <f t="shared" si="0"/>
        <v>10807</v>
      </c>
      <c r="B41" t="s">
        <v>22</v>
      </c>
      <c r="C41" t="s">
        <v>23</v>
      </c>
      <c r="D41" s="1" t="s">
        <v>149</v>
      </c>
      <c r="E41" t="s">
        <v>25</v>
      </c>
      <c r="F41" t="s">
        <v>26</v>
      </c>
      <c r="G41" t="str">
        <f t="shared" si="1"/>
        <v>37</v>
      </c>
      <c r="H41" t="str">
        <f t="shared" si="5"/>
        <v>11</v>
      </c>
      <c r="I41" t="s">
        <v>27</v>
      </c>
      <c r="J41">
        <v>20</v>
      </c>
      <c r="K41">
        <v>20</v>
      </c>
      <c r="L41" s="1">
        <f t="shared" si="4"/>
        <v>20000</v>
      </c>
      <c r="M41" t="s">
        <v>158</v>
      </c>
      <c r="N41">
        <v>1</v>
      </c>
      <c r="O41" t="str">
        <f t="shared" si="6"/>
        <v>722</v>
      </c>
      <c r="P41" t="s">
        <v>30</v>
      </c>
      <c r="Q41" t="s">
        <v>27</v>
      </c>
      <c r="R41" t="s">
        <v>31</v>
      </c>
      <c r="S41" t="s">
        <v>28</v>
      </c>
      <c r="T41" t="str">
        <f>"45218257"</f>
        <v>45218257</v>
      </c>
      <c r="U41" t="s">
        <v>159</v>
      </c>
      <c r="V41" t="s">
        <v>160</v>
      </c>
    </row>
    <row r="42" spans="1:22" x14ac:dyDescent="0.25">
      <c r="A42" t="str">
        <f t="shared" si="0"/>
        <v>10807</v>
      </c>
      <c r="B42" t="s">
        <v>22</v>
      </c>
      <c r="C42" t="s">
        <v>23</v>
      </c>
      <c r="D42" s="1" t="s">
        <v>161</v>
      </c>
      <c r="E42" t="s">
        <v>25</v>
      </c>
      <c r="F42" t="s">
        <v>26</v>
      </c>
      <c r="G42" t="str">
        <f t="shared" si="1"/>
        <v>37</v>
      </c>
      <c r="H42" t="str">
        <f t="shared" si="5"/>
        <v>11</v>
      </c>
      <c r="I42" t="s">
        <v>37</v>
      </c>
      <c r="J42">
        <v>30</v>
      </c>
      <c r="K42">
        <v>30</v>
      </c>
      <c r="L42" s="1">
        <f t="shared" si="4"/>
        <v>30000</v>
      </c>
      <c r="M42" t="s">
        <v>162</v>
      </c>
      <c r="N42">
        <v>1</v>
      </c>
      <c r="O42" t="str">
        <f t="shared" si="6"/>
        <v>722</v>
      </c>
      <c r="P42" t="s">
        <v>39</v>
      </c>
      <c r="Q42" t="s">
        <v>37</v>
      </c>
      <c r="R42" t="s">
        <v>31</v>
      </c>
      <c r="S42" t="s">
        <v>28</v>
      </c>
      <c r="T42" t="str">
        <f>"41118159"</f>
        <v>41118159</v>
      </c>
      <c r="U42" t="s">
        <v>163</v>
      </c>
      <c r="V42" t="s">
        <v>164</v>
      </c>
    </row>
    <row r="43" spans="1:22" x14ac:dyDescent="0.25">
      <c r="A43" t="str">
        <f t="shared" si="0"/>
        <v>10807</v>
      </c>
      <c r="B43" t="s">
        <v>22</v>
      </c>
      <c r="C43" t="s">
        <v>23</v>
      </c>
      <c r="D43" s="1" t="s">
        <v>161</v>
      </c>
      <c r="E43" t="s">
        <v>25</v>
      </c>
      <c r="F43" t="s">
        <v>26</v>
      </c>
      <c r="G43" t="str">
        <f t="shared" si="1"/>
        <v>37</v>
      </c>
      <c r="H43" t="str">
        <f t="shared" si="5"/>
        <v>11</v>
      </c>
      <c r="I43" t="s">
        <v>27</v>
      </c>
      <c r="J43">
        <v>30</v>
      </c>
      <c r="K43">
        <v>30</v>
      </c>
      <c r="L43" s="1">
        <f t="shared" si="4"/>
        <v>30000</v>
      </c>
      <c r="M43" t="s">
        <v>165</v>
      </c>
      <c r="N43">
        <v>1</v>
      </c>
      <c r="O43" t="str">
        <f t="shared" si="6"/>
        <v>722</v>
      </c>
      <c r="P43" t="s">
        <v>30</v>
      </c>
      <c r="Q43" t="s">
        <v>27</v>
      </c>
      <c r="R43" t="s">
        <v>31</v>
      </c>
      <c r="S43" t="s">
        <v>28</v>
      </c>
      <c r="T43" t="str">
        <f>"09059733"</f>
        <v>09059733</v>
      </c>
      <c r="U43" t="s">
        <v>166</v>
      </c>
      <c r="V43" t="s">
        <v>167</v>
      </c>
    </row>
    <row r="44" spans="1:22" x14ac:dyDescent="0.25">
      <c r="A44" t="str">
        <f t="shared" si="0"/>
        <v>10807</v>
      </c>
      <c r="B44" t="s">
        <v>22</v>
      </c>
      <c r="C44" t="s">
        <v>23</v>
      </c>
      <c r="D44" s="1" t="s">
        <v>161</v>
      </c>
      <c r="E44" t="s">
        <v>25</v>
      </c>
      <c r="F44" t="s">
        <v>26</v>
      </c>
      <c r="G44" t="str">
        <f t="shared" si="1"/>
        <v>37</v>
      </c>
      <c r="H44" t="str">
        <f t="shared" si="5"/>
        <v>11</v>
      </c>
      <c r="I44" t="s">
        <v>27</v>
      </c>
      <c r="J44">
        <v>20</v>
      </c>
      <c r="K44">
        <v>20</v>
      </c>
      <c r="L44" s="1">
        <f t="shared" si="4"/>
        <v>20000</v>
      </c>
      <c r="M44" t="s">
        <v>168</v>
      </c>
      <c r="N44">
        <v>1</v>
      </c>
      <c r="O44" t="str">
        <f t="shared" si="6"/>
        <v>722</v>
      </c>
      <c r="P44" t="s">
        <v>30</v>
      </c>
      <c r="Q44" t="s">
        <v>27</v>
      </c>
      <c r="R44" t="s">
        <v>31</v>
      </c>
      <c r="S44" t="s">
        <v>28</v>
      </c>
      <c r="T44" t="str">
        <f>"72367884"</f>
        <v>72367884</v>
      </c>
      <c r="U44" t="s">
        <v>169</v>
      </c>
      <c r="V44" t="s">
        <v>170</v>
      </c>
    </row>
    <row r="45" spans="1:22" x14ac:dyDescent="0.25">
      <c r="A45" t="str">
        <f t="shared" si="0"/>
        <v>10807</v>
      </c>
      <c r="B45" t="s">
        <v>22</v>
      </c>
      <c r="C45" t="s">
        <v>23</v>
      </c>
      <c r="D45" s="1" t="s">
        <v>161</v>
      </c>
      <c r="E45" t="s">
        <v>25</v>
      </c>
      <c r="F45" t="s">
        <v>26</v>
      </c>
      <c r="G45" t="str">
        <f t="shared" si="1"/>
        <v>37</v>
      </c>
      <c r="H45" t="str">
        <f t="shared" si="5"/>
        <v>11</v>
      </c>
      <c r="I45" t="s">
        <v>37</v>
      </c>
      <c r="J45">
        <v>20</v>
      </c>
      <c r="K45">
        <v>20</v>
      </c>
      <c r="L45" s="1">
        <f t="shared" si="4"/>
        <v>20000</v>
      </c>
      <c r="M45" t="s">
        <v>171</v>
      </c>
      <c r="N45">
        <v>1</v>
      </c>
      <c r="O45" t="str">
        <f t="shared" si="6"/>
        <v>722</v>
      </c>
      <c r="P45" t="s">
        <v>39</v>
      </c>
      <c r="Q45" t="s">
        <v>37</v>
      </c>
      <c r="R45" t="s">
        <v>31</v>
      </c>
      <c r="S45" t="s">
        <v>28</v>
      </c>
      <c r="T45" t="str">
        <f>"29429559"</f>
        <v>29429559</v>
      </c>
      <c r="U45" t="s">
        <v>172</v>
      </c>
      <c r="V45" t="s">
        <v>173</v>
      </c>
    </row>
    <row r="46" spans="1:22" x14ac:dyDescent="0.25">
      <c r="A46" t="str">
        <f t="shared" si="0"/>
        <v>10807</v>
      </c>
      <c r="B46" t="s">
        <v>22</v>
      </c>
      <c r="C46" t="s">
        <v>23</v>
      </c>
      <c r="D46" s="1" t="s">
        <v>174</v>
      </c>
      <c r="E46" t="s">
        <v>25</v>
      </c>
      <c r="F46" t="s">
        <v>26</v>
      </c>
      <c r="G46" t="str">
        <f t="shared" si="1"/>
        <v>37</v>
      </c>
      <c r="H46" t="str">
        <f t="shared" si="5"/>
        <v>11</v>
      </c>
      <c r="I46" t="s">
        <v>37</v>
      </c>
      <c r="J46">
        <v>15</v>
      </c>
      <c r="K46">
        <v>15</v>
      </c>
      <c r="L46" s="1">
        <f t="shared" si="4"/>
        <v>15000</v>
      </c>
      <c r="M46" t="s">
        <v>175</v>
      </c>
      <c r="N46">
        <v>1</v>
      </c>
      <c r="O46" t="str">
        <f t="shared" si="6"/>
        <v>722</v>
      </c>
      <c r="P46" t="s">
        <v>39</v>
      </c>
      <c r="Q46" t="s">
        <v>37</v>
      </c>
      <c r="R46" t="s">
        <v>31</v>
      </c>
      <c r="S46" t="s">
        <v>28</v>
      </c>
      <c r="T46" t="str">
        <f>"13538898"</f>
        <v>13538898</v>
      </c>
      <c r="U46" t="s">
        <v>176</v>
      </c>
      <c r="V46" t="s">
        <v>177</v>
      </c>
    </row>
    <row r="47" spans="1:22" x14ac:dyDescent="0.25">
      <c r="A47" t="str">
        <f t="shared" si="0"/>
        <v>10807</v>
      </c>
      <c r="B47" t="s">
        <v>22</v>
      </c>
      <c r="C47" t="s">
        <v>23</v>
      </c>
      <c r="D47" s="1" t="s">
        <v>174</v>
      </c>
      <c r="E47" t="s">
        <v>25</v>
      </c>
      <c r="F47" t="s">
        <v>26</v>
      </c>
      <c r="G47" t="str">
        <f t="shared" si="1"/>
        <v>37</v>
      </c>
      <c r="H47" t="str">
        <f t="shared" si="5"/>
        <v>11</v>
      </c>
      <c r="I47" t="s">
        <v>27</v>
      </c>
      <c r="J47">
        <v>20</v>
      </c>
      <c r="K47">
        <v>20</v>
      </c>
      <c r="L47" s="1">
        <f t="shared" si="4"/>
        <v>20000</v>
      </c>
      <c r="M47" t="s">
        <v>178</v>
      </c>
      <c r="N47">
        <v>1</v>
      </c>
      <c r="O47" t="str">
        <f t="shared" si="6"/>
        <v>722</v>
      </c>
      <c r="P47" t="s">
        <v>30</v>
      </c>
      <c r="Q47" t="s">
        <v>27</v>
      </c>
      <c r="R47" t="s">
        <v>31</v>
      </c>
      <c r="S47" t="s">
        <v>28</v>
      </c>
      <c r="T47" t="str">
        <f>"62936330"</f>
        <v>62936330</v>
      </c>
      <c r="U47" t="s">
        <v>179</v>
      </c>
      <c r="V47" t="s">
        <v>180</v>
      </c>
    </row>
    <row r="48" spans="1:22" x14ac:dyDescent="0.25">
      <c r="A48" t="str">
        <f t="shared" si="0"/>
        <v>10807</v>
      </c>
      <c r="B48" t="s">
        <v>22</v>
      </c>
      <c r="C48" t="s">
        <v>23</v>
      </c>
      <c r="D48" s="1" t="s">
        <v>174</v>
      </c>
      <c r="E48" t="s">
        <v>25</v>
      </c>
      <c r="F48" t="s">
        <v>26</v>
      </c>
      <c r="G48" t="str">
        <f t="shared" si="1"/>
        <v>37</v>
      </c>
      <c r="H48" t="str">
        <f t="shared" si="5"/>
        <v>11</v>
      </c>
      <c r="I48" t="s">
        <v>27</v>
      </c>
      <c r="J48">
        <v>30</v>
      </c>
      <c r="K48">
        <v>30</v>
      </c>
      <c r="L48" s="1">
        <f t="shared" si="4"/>
        <v>30000</v>
      </c>
      <c r="M48" t="s">
        <v>181</v>
      </c>
      <c r="N48">
        <v>1</v>
      </c>
      <c r="O48" t="str">
        <f t="shared" si="6"/>
        <v>722</v>
      </c>
      <c r="P48" t="s">
        <v>30</v>
      </c>
      <c r="Q48" t="s">
        <v>27</v>
      </c>
      <c r="R48" t="s">
        <v>31</v>
      </c>
      <c r="S48" t="s">
        <v>28</v>
      </c>
      <c r="T48" t="str">
        <f>"26103071"</f>
        <v>26103071</v>
      </c>
      <c r="U48" t="s">
        <v>182</v>
      </c>
      <c r="V48" t="s">
        <v>183</v>
      </c>
    </row>
    <row r="49" spans="1:22" x14ac:dyDescent="0.25">
      <c r="A49" t="str">
        <f t="shared" si="0"/>
        <v>10807</v>
      </c>
      <c r="B49" t="s">
        <v>22</v>
      </c>
      <c r="C49" t="s">
        <v>23</v>
      </c>
      <c r="D49" s="1" t="s">
        <v>174</v>
      </c>
      <c r="E49" t="s">
        <v>25</v>
      </c>
      <c r="F49" t="s">
        <v>26</v>
      </c>
      <c r="G49" t="str">
        <f t="shared" si="1"/>
        <v>37</v>
      </c>
      <c r="H49" t="str">
        <f t="shared" si="5"/>
        <v>11</v>
      </c>
      <c r="I49" t="s">
        <v>37</v>
      </c>
      <c r="J49">
        <v>20</v>
      </c>
      <c r="K49">
        <v>20</v>
      </c>
      <c r="L49" s="1">
        <f t="shared" si="4"/>
        <v>20000</v>
      </c>
      <c r="M49" t="s">
        <v>184</v>
      </c>
      <c r="N49">
        <v>1</v>
      </c>
      <c r="O49" t="str">
        <f t="shared" si="6"/>
        <v>722</v>
      </c>
      <c r="P49" t="s">
        <v>39</v>
      </c>
      <c r="Q49" t="s">
        <v>37</v>
      </c>
      <c r="R49" t="s">
        <v>31</v>
      </c>
      <c r="S49" t="s">
        <v>28</v>
      </c>
      <c r="T49" t="str">
        <f>"37630162"</f>
        <v>37630162</v>
      </c>
      <c r="U49" t="s">
        <v>185</v>
      </c>
      <c r="V49" t="s">
        <v>186</v>
      </c>
    </row>
    <row r="50" spans="1:22" x14ac:dyDescent="0.25">
      <c r="A50" t="str">
        <f t="shared" si="0"/>
        <v>10807</v>
      </c>
      <c r="B50" t="s">
        <v>22</v>
      </c>
      <c r="C50" t="s">
        <v>23</v>
      </c>
      <c r="D50" s="1" t="s">
        <v>187</v>
      </c>
      <c r="E50" t="s">
        <v>25</v>
      </c>
      <c r="F50" t="s">
        <v>26</v>
      </c>
      <c r="G50" t="str">
        <f t="shared" si="1"/>
        <v>37</v>
      </c>
      <c r="H50" t="str">
        <f t="shared" si="5"/>
        <v>11</v>
      </c>
      <c r="I50" t="s">
        <v>37</v>
      </c>
      <c r="J50">
        <v>15</v>
      </c>
      <c r="K50">
        <v>15</v>
      </c>
      <c r="L50" s="1">
        <f t="shared" si="4"/>
        <v>15000</v>
      </c>
      <c r="M50" t="s">
        <v>188</v>
      </c>
      <c r="N50">
        <v>1</v>
      </c>
      <c r="O50" t="str">
        <f t="shared" si="6"/>
        <v>722</v>
      </c>
      <c r="P50" t="s">
        <v>39</v>
      </c>
      <c r="Q50" t="s">
        <v>37</v>
      </c>
      <c r="R50" t="s">
        <v>31</v>
      </c>
      <c r="S50" t="s">
        <v>28</v>
      </c>
      <c r="T50" t="str">
        <f>"72743939"</f>
        <v>72743939</v>
      </c>
      <c r="U50" t="s">
        <v>189</v>
      </c>
      <c r="V50" t="s">
        <v>190</v>
      </c>
    </row>
    <row r="51" spans="1:22" x14ac:dyDescent="0.25">
      <c r="A51" t="str">
        <f t="shared" si="0"/>
        <v>10807</v>
      </c>
      <c r="B51" t="s">
        <v>22</v>
      </c>
      <c r="C51" t="s">
        <v>23</v>
      </c>
      <c r="D51" s="1" t="s">
        <v>187</v>
      </c>
      <c r="E51" t="s">
        <v>25</v>
      </c>
      <c r="F51" t="s">
        <v>26</v>
      </c>
      <c r="G51" t="str">
        <f t="shared" si="1"/>
        <v>37</v>
      </c>
      <c r="H51" t="str">
        <f t="shared" si="5"/>
        <v>11</v>
      </c>
      <c r="I51" t="s">
        <v>37</v>
      </c>
      <c r="J51">
        <v>30</v>
      </c>
      <c r="K51">
        <v>30</v>
      </c>
      <c r="L51" s="1">
        <f t="shared" si="4"/>
        <v>30000</v>
      </c>
      <c r="M51" t="s">
        <v>191</v>
      </c>
      <c r="N51">
        <v>1</v>
      </c>
      <c r="O51" t="str">
        <f t="shared" si="6"/>
        <v>722</v>
      </c>
      <c r="P51" t="s">
        <v>39</v>
      </c>
      <c r="Q51" t="s">
        <v>37</v>
      </c>
      <c r="R51" t="s">
        <v>31</v>
      </c>
      <c r="S51" t="s">
        <v>28</v>
      </c>
      <c r="T51" t="str">
        <f>"26654948"</f>
        <v>26654948</v>
      </c>
      <c r="U51" t="s">
        <v>192</v>
      </c>
      <c r="V51" t="s">
        <v>193</v>
      </c>
    </row>
    <row r="52" spans="1:22" x14ac:dyDescent="0.25">
      <c r="A52" t="str">
        <f t="shared" si="0"/>
        <v>10807</v>
      </c>
      <c r="B52" t="s">
        <v>22</v>
      </c>
      <c r="C52" t="s">
        <v>23</v>
      </c>
      <c r="D52" s="1" t="s">
        <v>187</v>
      </c>
      <c r="E52" t="s">
        <v>25</v>
      </c>
      <c r="F52" t="s">
        <v>26</v>
      </c>
      <c r="G52" t="str">
        <f t="shared" si="1"/>
        <v>37</v>
      </c>
      <c r="H52" t="str">
        <f t="shared" si="5"/>
        <v>11</v>
      </c>
      <c r="I52" t="s">
        <v>37</v>
      </c>
      <c r="J52">
        <v>30</v>
      </c>
      <c r="K52">
        <v>30</v>
      </c>
      <c r="L52" s="1">
        <f t="shared" si="4"/>
        <v>30000</v>
      </c>
      <c r="M52" t="s">
        <v>194</v>
      </c>
      <c r="N52">
        <v>1</v>
      </c>
      <c r="O52" t="str">
        <f t="shared" si="6"/>
        <v>722</v>
      </c>
      <c r="P52" t="s">
        <v>39</v>
      </c>
      <c r="Q52" t="s">
        <v>37</v>
      </c>
      <c r="R52" t="s">
        <v>31</v>
      </c>
      <c r="S52" t="s">
        <v>28</v>
      </c>
      <c r="T52" t="str">
        <f>"99191522"</f>
        <v>99191522</v>
      </c>
      <c r="U52" t="s">
        <v>195</v>
      </c>
      <c r="V52" t="s">
        <v>196</v>
      </c>
    </row>
    <row r="53" spans="1:22" x14ac:dyDescent="0.25">
      <c r="A53" t="str">
        <f t="shared" si="0"/>
        <v>10807</v>
      </c>
      <c r="B53" t="s">
        <v>22</v>
      </c>
      <c r="C53" t="s">
        <v>23</v>
      </c>
      <c r="D53" s="1" t="s">
        <v>187</v>
      </c>
      <c r="E53" t="s">
        <v>25</v>
      </c>
      <c r="F53" t="s">
        <v>26</v>
      </c>
      <c r="G53" t="str">
        <f t="shared" si="1"/>
        <v>37</v>
      </c>
      <c r="H53" t="str">
        <f t="shared" si="5"/>
        <v>11</v>
      </c>
      <c r="I53" t="s">
        <v>37</v>
      </c>
      <c r="J53">
        <v>20</v>
      </c>
      <c r="K53">
        <v>20</v>
      </c>
      <c r="L53" s="1">
        <f t="shared" si="4"/>
        <v>20000</v>
      </c>
      <c r="M53" t="s">
        <v>197</v>
      </c>
      <c r="N53">
        <v>1</v>
      </c>
      <c r="O53" t="str">
        <f t="shared" si="6"/>
        <v>722</v>
      </c>
      <c r="P53" t="s">
        <v>39</v>
      </c>
      <c r="Q53" t="s">
        <v>37</v>
      </c>
      <c r="R53" t="s">
        <v>31</v>
      </c>
      <c r="S53" t="s">
        <v>28</v>
      </c>
      <c r="T53" t="str">
        <f>"47776881"</f>
        <v>47776881</v>
      </c>
      <c r="U53" t="s">
        <v>198</v>
      </c>
      <c r="V53" t="s">
        <v>199</v>
      </c>
    </row>
    <row r="54" spans="1:22" x14ac:dyDescent="0.25">
      <c r="A54" t="str">
        <f t="shared" si="0"/>
        <v>10807</v>
      </c>
      <c r="B54" t="s">
        <v>22</v>
      </c>
      <c r="C54" t="s">
        <v>23</v>
      </c>
      <c r="D54" s="1" t="s">
        <v>200</v>
      </c>
      <c r="E54" t="s">
        <v>25</v>
      </c>
      <c r="F54" t="s">
        <v>26</v>
      </c>
      <c r="G54" t="str">
        <f t="shared" si="1"/>
        <v>37</v>
      </c>
      <c r="H54" t="str">
        <f t="shared" si="5"/>
        <v>11</v>
      </c>
      <c r="I54" t="s">
        <v>37</v>
      </c>
      <c r="J54">
        <v>20</v>
      </c>
      <c r="K54">
        <v>20</v>
      </c>
      <c r="L54" s="1">
        <f t="shared" si="4"/>
        <v>20000</v>
      </c>
      <c r="M54" t="s">
        <v>201</v>
      </c>
      <c r="N54">
        <v>1</v>
      </c>
      <c r="O54" t="str">
        <f t="shared" si="6"/>
        <v>722</v>
      </c>
      <c r="P54" t="s">
        <v>39</v>
      </c>
      <c r="Q54" t="s">
        <v>37</v>
      </c>
      <c r="R54" t="s">
        <v>31</v>
      </c>
      <c r="S54" t="s">
        <v>28</v>
      </c>
      <c r="T54" t="str">
        <f>"80911156"</f>
        <v>80911156</v>
      </c>
      <c r="U54" t="s">
        <v>202</v>
      </c>
      <c r="V54" t="s">
        <v>203</v>
      </c>
    </row>
    <row r="55" spans="1:22" x14ac:dyDescent="0.25">
      <c r="A55" t="str">
        <f t="shared" si="0"/>
        <v>10807</v>
      </c>
      <c r="B55" t="s">
        <v>22</v>
      </c>
      <c r="C55" t="s">
        <v>23</v>
      </c>
      <c r="D55" s="1" t="s">
        <v>200</v>
      </c>
      <c r="E55" t="s">
        <v>25</v>
      </c>
      <c r="F55" t="s">
        <v>26</v>
      </c>
      <c r="G55" t="str">
        <f t="shared" si="1"/>
        <v>37</v>
      </c>
      <c r="H55" t="str">
        <f t="shared" si="5"/>
        <v>11</v>
      </c>
      <c r="I55" t="s">
        <v>37</v>
      </c>
      <c r="J55">
        <v>50</v>
      </c>
      <c r="K55">
        <v>50</v>
      </c>
      <c r="L55" s="1">
        <f t="shared" si="4"/>
        <v>50000</v>
      </c>
      <c r="M55" t="s">
        <v>204</v>
      </c>
      <c r="N55">
        <v>1</v>
      </c>
      <c r="O55" t="str">
        <f t="shared" si="6"/>
        <v>722</v>
      </c>
      <c r="P55" t="s">
        <v>39</v>
      </c>
      <c r="Q55" t="s">
        <v>37</v>
      </c>
      <c r="R55" t="s">
        <v>31</v>
      </c>
      <c r="S55" t="s">
        <v>28</v>
      </c>
      <c r="T55" t="str">
        <f>"41499002"</f>
        <v>41499002</v>
      </c>
      <c r="U55" t="s">
        <v>205</v>
      </c>
      <c r="V55" t="s">
        <v>190</v>
      </c>
    </row>
    <row r="56" spans="1:22" x14ac:dyDescent="0.25">
      <c r="A56" t="str">
        <f t="shared" si="0"/>
        <v>10807</v>
      </c>
      <c r="B56" t="s">
        <v>22</v>
      </c>
      <c r="C56" t="s">
        <v>23</v>
      </c>
      <c r="D56" s="1" t="s">
        <v>200</v>
      </c>
      <c r="E56" t="s">
        <v>25</v>
      </c>
      <c r="F56" t="s">
        <v>26</v>
      </c>
      <c r="G56" t="str">
        <f t="shared" si="1"/>
        <v>37</v>
      </c>
      <c r="H56" t="str">
        <f t="shared" si="5"/>
        <v>11</v>
      </c>
      <c r="I56" t="s">
        <v>37</v>
      </c>
      <c r="J56">
        <v>30</v>
      </c>
      <c r="K56">
        <v>30</v>
      </c>
      <c r="L56" s="1">
        <f t="shared" si="4"/>
        <v>30000</v>
      </c>
      <c r="M56" t="s">
        <v>206</v>
      </c>
      <c r="N56">
        <v>1</v>
      </c>
      <c r="O56" t="str">
        <f t="shared" si="6"/>
        <v>722</v>
      </c>
      <c r="P56" t="s">
        <v>39</v>
      </c>
      <c r="Q56" t="s">
        <v>37</v>
      </c>
      <c r="R56" t="s">
        <v>31</v>
      </c>
      <c r="S56" t="s">
        <v>28</v>
      </c>
      <c r="T56" t="str">
        <f>"38998026"</f>
        <v>38998026</v>
      </c>
      <c r="U56" t="s">
        <v>207</v>
      </c>
      <c r="V56" t="s">
        <v>208</v>
      </c>
    </row>
    <row r="57" spans="1:22" x14ac:dyDescent="0.25">
      <c r="A57" t="str">
        <f t="shared" si="0"/>
        <v>10807</v>
      </c>
      <c r="B57" t="s">
        <v>22</v>
      </c>
      <c r="C57" t="s">
        <v>23</v>
      </c>
      <c r="D57" s="1" t="s">
        <v>200</v>
      </c>
      <c r="E57" t="s">
        <v>25</v>
      </c>
      <c r="F57" t="s">
        <v>26</v>
      </c>
      <c r="G57" t="str">
        <f t="shared" si="1"/>
        <v>37</v>
      </c>
      <c r="H57" t="str">
        <f t="shared" si="5"/>
        <v>11</v>
      </c>
      <c r="I57" t="s">
        <v>27</v>
      </c>
      <c r="J57">
        <v>20</v>
      </c>
      <c r="K57">
        <v>20</v>
      </c>
      <c r="L57" s="1">
        <f t="shared" si="4"/>
        <v>20000</v>
      </c>
      <c r="M57" t="s">
        <v>209</v>
      </c>
      <c r="N57">
        <v>1</v>
      </c>
      <c r="O57" t="str">
        <f t="shared" si="6"/>
        <v>722</v>
      </c>
      <c r="P57" t="s">
        <v>30</v>
      </c>
      <c r="Q57" t="s">
        <v>27</v>
      </c>
      <c r="R57" t="s">
        <v>31</v>
      </c>
      <c r="S57" t="s">
        <v>28</v>
      </c>
      <c r="T57" t="str">
        <f>"97942077"</f>
        <v>97942077</v>
      </c>
      <c r="U57" t="s">
        <v>210</v>
      </c>
      <c r="V57" t="s">
        <v>211</v>
      </c>
    </row>
    <row r="58" spans="1:22" x14ac:dyDescent="0.25">
      <c r="A58" t="str">
        <f t="shared" si="0"/>
        <v>10807</v>
      </c>
      <c r="B58" t="s">
        <v>22</v>
      </c>
      <c r="C58" t="s">
        <v>23</v>
      </c>
      <c r="D58" s="1" t="s">
        <v>212</v>
      </c>
      <c r="E58" t="s">
        <v>25</v>
      </c>
      <c r="F58" t="s">
        <v>26</v>
      </c>
      <c r="G58" t="str">
        <f t="shared" si="1"/>
        <v>37</v>
      </c>
      <c r="H58" t="str">
        <f t="shared" si="5"/>
        <v>11</v>
      </c>
      <c r="I58" t="s">
        <v>37</v>
      </c>
      <c r="J58">
        <v>80</v>
      </c>
      <c r="K58">
        <v>80</v>
      </c>
      <c r="L58" s="1">
        <f t="shared" si="4"/>
        <v>80000</v>
      </c>
      <c r="M58" t="s">
        <v>213</v>
      </c>
      <c r="N58">
        <v>1</v>
      </c>
      <c r="O58" t="str">
        <f t="shared" si="6"/>
        <v>722</v>
      </c>
      <c r="P58" t="s">
        <v>39</v>
      </c>
      <c r="Q58" t="s">
        <v>37</v>
      </c>
      <c r="R58" t="s">
        <v>31</v>
      </c>
      <c r="S58" t="s">
        <v>28</v>
      </c>
      <c r="T58" t="str">
        <f>"09844591"</f>
        <v>09844591</v>
      </c>
      <c r="U58" t="s">
        <v>214</v>
      </c>
      <c r="V58" t="s">
        <v>215</v>
      </c>
    </row>
    <row r="59" spans="1:22" x14ac:dyDescent="0.25">
      <c r="A59" t="str">
        <f t="shared" si="0"/>
        <v>10807</v>
      </c>
      <c r="B59" t="s">
        <v>22</v>
      </c>
      <c r="C59" t="s">
        <v>23</v>
      </c>
      <c r="D59" s="1" t="s">
        <v>212</v>
      </c>
      <c r="E59" t="s">
        <v>25</v>
      </c>
      <c r="F59" t="s">
        <v>26</v>
      </c>
      <c r="G59" t="str">
        <f t="shared" si="1"/>
        <v>37</v>
      </c>
      <c r="H59" t="str">
        <f t="shared" si="5"/>
        <v>11</v>
      </c>
      <c r="I59" t="s">
        <v>37</v>
      </c>
      <c r="J59">
        <v>20</v>
      </c>
      <c r="K59">
        <v>20</v>
      </c>
      <c r="L59" s="1">
        <f t="shared" si="4"/>
        <v>20000</v>
      </c>
      <c r="M59" t="s">
        <v>216</v>
      </c>
      <c r="N59">
        <v>1</v>
      </c>
      <c r="O59" t="str">
        <f>"723"</f>
        <v>723</v>
      </c>
      <c r="P59" t="s">
        <v>39</v>
      </c>
      <c r="Q59" t="s">
        <v>37</v>
      </c>
      <c r="R59" t="s">
        <v>31</v>
      </c>
      <c r="S59" t="s">
        <v>28</v>
      </c>
      <c r="T59" t="str">
        <f>"02251191"</f>
        <v>02251191</v>
      </c>
      <c r="U59" t="s">
        <v>217</v>
      </c>
      <c r="V59" t="s">
        <v>218</v>
      </c>
    </row>
    <row r="60" spans="1:22" x14ac:dyDescent="0.25">
      <c r="A60" t="str">
        <f t="shared" si="0"/>
        <v>10807</v>
      </c>
      <c r="B60" t="s">
        <v>22</v>
      </c>
      <c r="C60" t="s">
        <v>23</v>
      </c>
      <c r="D60" s="1" t="s">
        <v>212</v>
      </c>
      <c r="E60" t="s">
        <v>25</v>
      </c>
      <c r="F60" t="s">
        <v>26</v>
      </c>
      <c r="G60" t="str">
        <f t="shared" si="1"/>
        <v>37</v>
      </c>
      <c r="H60" t="str">
        <f t="shared" si="5"/>
        <v>11</v>
      </c>
      <c r="I60" t="s">
        <v>37</v>
      </c>
      <c r="J60">
        <v>20</v>
      </c>
      <c r="K60">
        <v>20</v>
      </c>
      <c r="L60" s="1">
        <f t="shared" si="4"/>
        <v>20000</v>
      </c>
      <c r="M60" t="s">
        <v>219</v>
      </c>
      <c r="N60">
        <v>1</v>
      </c>
      <c r="O60" t="str">
        <f>"722"</f>
        <v>722</v>
      </c>
      <c r="P60" t="s">
        <v>39</v>
      </c>
      <c r="Q60" t="s">
        <v>37</v>
      </c>
      <c r="R60" t="s">
        <v>31</v>
      </c>
      <c r="S60" t="s">
        <v>28</v>
      </c>
      <c r="T60" t="str">
        <f>"21844646"</f>
        <v>21844646</v>
      </c>
      <c r="U60" t="s">
        <v>220</v>
      </c>
      <c r="V60" t="s">
        <v>221</v>
      </c>
    </row>
    <row r="61" spans="1:22" x14ac:dyDescent="0.25">
      <c r="A61" t="str">
        <f t="shared" si="0"/>
        <v>10807</v>
      </c>
      <c r="B61" t="s">
        <v>22</v>
      </c>
      <c r="C61" t="s">
        <v>23</v>
      </c>
      <c r="D61" s="1" t="s">
        <v>222</v>
      </c>
      <c r="E61" t="s">
        <v>25</v>
      </c>
      <c r="F61" t="s">
        <v>26</v>
      </c>
      <c r="G61" t="str">
        <f t="shared" si="1"/>
        <v>37</v>
      </c>
      <c r="H61" t="str">
        <f t="shared" si="5"/>
        <v>11</v>
      </c>
      <c r="I61" t="s">
        <v>37</v>
      </c>
      <c r="J61">
        <v>19.332999999999998</v>
      </c>
      <c r="K61">
        <v>19.332999999999998</v>
      </c>
      <c r="L61" s="1">
        <f t="shared" si="4"/>
        <v>19333</v>
      </c>
      <c r="M61" t="s">
        <v>223</v>
      </c>
      <c r="N61">
        <v>1</v>
      </c>
      <c r="O61" t="str">
        <f>"722"</f>
        <v>722</v>
      </c>
      <c r="P61" t="s">
        <v>39</v>
      </c>
      <c r="Q61" t="s">
        <v>37</v>
      </c>
      <c r="R61" t="s">
        <v>31</v>
      </c>
      <c r="S61" t="s">
        <v>28</v>
      </c>
      <c r="T61" t="str">
        <f>"45308736"</f>
        <v>45308736</v>
      </c>
      <c r="U61" t="s">
        <v>224</v>
      </c>
      <c r="V61" t="s">
        <v>225</v>
      </c>
    </row>
    <row r="62" spans="1:22" x14ac:dyDescent="0.25">
      <c r="A62" t="str">
        <f t="shared" si="0"/>
        <v>10807</v>
      </c>
      <c r="B62" t="s">
        <v>22</v>
      </c>
      <c r="C62" t="s">
        <v>23</v>
      </c>
      <c r="D62" s="1" t="s">
        <v>222</v>
      </c>
      <c r="E62" t="s">
        <v>25</v>
      </c>
      <c r="F62" t="s">
        <v>26</v>
      </c>
      <c r="G62" t="str">
        <f t="shared" si="1"/>
        <v>37</v>
      </c>
      <c r="H62" t="str">
        <f t="shared" si="5"/>
        <v>11</v>
      </c>
      <c r="I62" t="s">
        <v>37</v>
      </c>
      <c r="J62">
        <v>15</v>
      </c>
      <c r="K62">
        <v>15</v>
      </c>
      <c r="L62" s="1">
        <f t="shared" si="4"/>
        <v>15000</v>
      </c>
      <c r="M62" t="s">
        <v>226</v>
      </c>
      <c r="N62">
        <v>1</v>
      </c>
      <c r="O62" t="str">
        <f>"722"</f>
        <v>722</v>
      </c>
      <c r="P62" t="s">
        <v>39</v>
      </c>
      <c r="Q62" t="s">
        <v>37</v>
      </c>
      <c r="R62" t="s">
        <v>31</v>
      </c>
      <c r="S62" t="s">
        <v>28</v>
      </c>
      <c r="T62" t="str">
        <f>"45757162"</f>
        <v>45757162</v>
      </c>
      <c r="U62" t="s">
        <v>227</v>
      </c>
      <c r="V62" t="s">
        <v>228</v>
      </c>
    </row>
    <row r="63" spans="1:22" x14ac:dyDescent="0.25">
      <c r="A63" t="str">
        <f t="shared" si="0"/>
        <v>10807</v>
      </c>
      <c r="B63" t="s">
        <v>22</v>
      </c>
      <c r="C63" t="s">
        <v>23</v>
      </c>
      <c r="D63" s="1" t="s">
        <v>222</v>
      </c>
      <c r="E63" t="s">
        <v>25</v>
      </c>
      <c r="F63" t="s">
        <v>26</v>
      </c>
      <c r="G63" t="str">
        <f t="shared" si="1"/>
        <v>37</v>
      </c>
      <c r="H63" t="str">
        <f t="shared" si="5"/>
        <v>11</v>
      </c>
      <c r="I63" t="s">
        <v>27</v>
      </c>
      <c r="J63">
        <v>30</v>
      </c>
      <c r="K63">
        <v>30</v>
      </c>
      <c r="L63" s="1">
        <f t="shared" si="4"/>
        <v>30000</v>
      </c>
      <c r="M63" t="s">
        <v>229</v>
      </c>
      <c r="N63">
        <v>1</v>
      </c>
      <c r="O63" t="str">
        <f>"722"</f>
        <v>722</v>
      </c>
      <c r="P63" t="s">
        <v>30</v>
      </c>
      <c r="Q63" t="s">
        <v>27</v>
      </c>
      <c r="R63" t="s">
        <v>31</v>
      </c>
      <c r="S63" t="s">
        <v>28</v>
      </c>
      <c r="T63" t="str">
        <f>"09846161"</f>
        <v>09846161</v>
      </c>
      <c r="U63" t="s">
        <v>230</v>
      </c>
      <c r="V63" t="s">
        <v>231</v>
      </c>
    </row>
    <row r="64" spans="1:22" x14ac:dyDescent="0.25">
      <c r="A64" t="str">
        <f t="shared" si="0"/>
        <v>10807</v>
      </c>
      <c r="B64" t="s">
        <v>22</v>
      </c>
      <c r="C64" t="s">
        <v>23</v>
      </c>
      <c r="D64" s="1" t="s">
        <v>222</v>
      </c>
      <c r="E64" t="s">
        <v>25</v>
      </c>
      <c r="F64" t="s">
        <v>26</v>
      </c>
      <c r="G64" t="str">
        <f t="shared" si="1"/>
        <v>37</v>
      </c>
      <c r="H64" t="str">
        <f t="shared" si="5"/>
        <v>11</v>
      </c>
      <c r="I64" t="s">
        <v>37</v>
      </c>
      <c r="J64">
        <v>15</v>
      </c>
      <c r="K64">
        <v>15</v>
      </c>
      <c r="L64" s="1">
        <f t="shared" si="4"/>
        <v>15000</v>
      </c>
      <c r="M64" t="s">
        <v>232</v>
      </c>
      <c r="N64">
        <v>1</v>
      </c>
      <c r="O64" t="str">
        <f>"722"</f>
        <v>722</v>
      </c>
      <c r="P64" t="s">
        <v>39</v>
      </c>
      <c r="Q64" t="s">
        <v>37</v>
      </c>
      <c r="R64" t="s">
        <v>31</v>
      </c>
      <c r="S64" t="s">
        <v>28</v>
      </c>
      <c r="T64" t="str">
        <f>"45754616"</f>
        <v>45754616</v>
      </c>
      <c r="U64" t="s">
        <v>233</v>
      </c>
      <c r="V64" t="s">
        <v>234</v>
      </c>
    </row>
    <row r="65" spans="1:22" x14ac:dyDescent="0.25">
      <c r="A65" t="str">
        <f t="shared" si="0"/>
        <v>10807</v>
      </c>
      <c r="B65" t="s">
        <v>22</v>
      </c>
      <c r="C65" t="s">
        <v>23</v>
      </c>
      <c r="D65" s="1" t="s">
        <v>235</v>
      </c>
      <c r="E65" t="s">
        <v>25</v>
      </c>
      <c r="F65" t="s">
        <v>26</v>
      </c>
      <c r="G65" t="str">
        <f t="shared" si="1"/>
        <v>37</v>
      </c>
      <c r="H65" t="str">
        <f t="shared" si="5"/>
        <v>11</v>
      </c>
      <c r="I65" t="s">
        <v>37</v>
      </c>
      <c r="J65">
        <v>50</v>
      </c>
      <c r="K65">
        <v>50</v>
      </c>
      <c r="L65" s="1">
        <f t="shared" si="4"/>
        <v>50000</v>
      </c>
      <c r="M65" t="s">
        <v>236</v>
      </c>
      <c r="N65">
        <v>1</v>
      </c>
      <c r="O65" t="str">
        <f>"723"</f>
        <v>723</v>
      </c>
      <c r="P65" t="s">
        <v>39</v>
      </c>
      <c r="Q65" t="s">
        <v>37</v>
      </c>
      <c r="R65" t="s">
        <v>31</v>
      </c>
      <c r="S65" t="s">
        <v>28</v>
      </c>
      <c r="T65" t="str">
        <f>"47765300"</f>
        <v>47765300</v>
      </c>
      <c r="U65" t="s">
        <v>237</v>
      </c>
      <c r="V65" t="s">
        <v>238</v>
      </c>
    </row>
    <row r="66" spans="1:22" x14ac:dyDescent="0.25">
      <c r="A66" t="str">
        <f t="shared" ref="A66:A128" si="7">"10807"</f>
        <v>10807</v>
      </c>
      <c r="B66" t="s">
        <v>22</v>
      </c>
      <c r="C66" t="s">
        <v>23</v>
      </c>
      <c r="D66" s="1" t="s">
        <v>235</v>
      </c>
      <c r="E66" t="s">
        <v>25</v>
      </c>
      <c r="F66" t="s">
        <v>26</v>
      </c>
      <c r="G66" t="str">
        <f t="shared" ref="G66:G128" si="8">"37"</f>
        <v>37</v>
      </c>
      <c r="H66" t="str">
        <f t="shared" ref="H66:H82" si="9">"11"</f>
        <v>11</v>
      </c>
      <c r="I66" t="s">
        <v>37</v>
      </c>
      <c r="J66">
        <v>30</v>
      </c>
      <c r="K66">
        <v>30</v>
      </c>
      <c r="L66" s="1">
        <f t="shared" ref="L66:L82" si="10">K66*1000</f>
        <v>30000</v>
      </c>
      <c r="M66" t="s">
        <v>239</v>
      </c>
      <c r="N66">
        <v>1</v>
      </c>
      <c r="O66" t="str">
        <f t="shared" ref="O66:O82" si="11">"722"</f>
        <v>722</v>
      </c>
      <c r="P66" t="s">
        <v>39</v>
      </c>
      <c r="Q66" t="s">
        <v>37</v>
      </c>
      <c r="R66" t="s">
        <v>31</v>
      </c>
      <c r="S66" t="s">
        <v>28</v>
      </c>
      <c r="T66" t="str">
        <f>"19309339"</f>
        <v>19309339</v>
      </c>
      <c r="U66" t="s">
        <v>240</v>
      </c>
      <c r="V66" t="s">
        <v>241</v>
      </c>
    </row>
    <row r="67" spans="1:22" x14ac:dyDescent="0.25">
      <c r="A67" t="str">
        <f t="shared" si="7"/>
        <v>10807</v>
      </c>
      <c r="B67" t="s">
        <v>22</v>
      </c>
      <c r="C67" t="s">
        <v>23</v>
      </c>
      <c r="D67" s="1" t="s">
        <v>235</v>
      </c>
      <c r="E67" t="s">
        <v>25</v>
      </c>
      <c r="F67" t="s">
        <v>26</v>
      </c>
      <c r="G67" t="str">
        <f t="shared" si="8"/>
        <v>37</v>
      </c>
      <c r="H67" t="str">
        <f t="shared" si="9"/>
        <v>11</v>
      </c>
      <c r="I67" t="s">
        <v>37</v>
      </c>
      <c r="J67">
        <v>20</v>
      </c>
      <c r="K67">
        <v>20</v>
      </c>
      <c r="L67" s="1">
        <f t="shared" si="10"/>
        <v>20000</v>
      </c>
      <c r="M67" t="s">
        <v>242</v>
      </c>
      <c r="N67">
        <v>1</v>
      </c>
      <c r="O67" t="str">
        <f t="shared" si="11"/>
        <v>722</v>
      </c>
      <c r="P67" t="s">
        <v>39</v>
      </c>
      <c r="Q67" t="s">
        <v>37</v>
      </c>
      <c r="R67" t="s">
        <v>31</v>
      </c>
      <c r="S67" t="s">
        <v>28</v>
      </c>
      <c r="T67" t="str">
        <f>"39727178"</f>
        <v>39727178</v>
      </c>
      <c r="U67" t="s">
        <v>243</v>
      </c>
      <c r="V67" t="s">
        <v>244</v>
      </c>
    </row>
    <row r="68" spans="1:22" x14ac:dyDescent="0.25">
      <c r="A68" t="str">
        <f t="shared" si="7"/>
        <v>10807</v>
      </c>
      <c r="B68" t="s">
        <v>22</v>
      </c>
      <c r="C68" t="s">
        <v>23</v>
      </c>
      <c r="D68" s="1" t="s">
        <v>245</v>
      </c>
      <c r="E68" t="s">
        <v>25</v>
      </c>
      <c r="F68" t="s">
        <v>26</v>
      </c>
      <c r="G68" t="str">
        <f t="shared" si="8"/>
        <v>37</v>
      </c>
      <c r="H68" t="str">
        <f t="shared" si="9"/>
        <v>11</v>
      </c>
      <c r="I68" t="s">
        <v>37</v>
      </c>
      <c r="J68">
        <v>30</v>
      </c>
      <c r="K68">
        <v>30</v>
      </c>
      <c r="L68" s="1">
        <f t="shared" si="10"/>
        <v>30000</v>
      </c>
      <c r="M68" t="s">
        <v>246</v>
      </c>
      <c r="N68">
        <v>1</v>
      </c>
      <c r="O68" t="str">
        <f t="shared" si="11"/>
        <v>722</v>
      </c>
      <c r="P68" t="s">
        <v>39</v>
      </c>
      <c r="Q68" t="s">
        <v>37</v>
      </c>
      <c r="R68" t="s">
        <v>31</v>
      </c>
      <c r="S68" t="s">
        <v>28</v>
      </c>
      <c r="T68" t="str">
        <f>"78607931"</f>
        <v>78607931</v>
      </c>
      <c r="U68" t="s">
        <v>247</v>
      </c>
      <c r="V68" t="s">
        <v>248</v>
      </c>
    </row>
    <row r="69" spans="1:22" x14ac:dyDescent="0.25">
      <c r="A69" t="str">
        <f t="shared" si="7"/>
        <v>10807</v>
      </c>
      <c r="B69" t="s">
        <v>22</v>
      </c>
      <c r="C69" t="s">
        <v>23</v>
      </c>
      <c r="D69" s="1" t="s">
        <v>245</v>
      </c>
      <c r="E69" t="s">
        <v>25</v>
      </c>
      <c r="F69" t="s">
        <v>26</v>
      </c>
      <c r="G69" t="str">
        <f t="shared" si="8"/>
        <v>37</v>
      </c>
      <c r="H69" t="str">
        <f t="shared" si="9"/>
        <v>11</v>
      </c>
      <c r="I69" t="s">
        <v>27</v>
      </c>
      <c r="J69">
        <v>20</v>
      </c>
      <c r="K69">
        <v>20</v>
      </c>
      <c r="L69" s="1">
        <f t="shared" si="10"/>
        <v>20000</v>
      </c>
      <c r="M69" t="s">
        <v>249</v>
      </c>
      <c r="N69">
        <v>1</v>
      </c>
      <c r="O69" t="str">
        <f t="shared" si="11"/>
        <v>722</v>
      </c>
      <c r="P69" t="s">
        <v>30</v>
      </c>
      <c r="Q69" t="s">
        <v>27</v>
      </c>
      <c r="R69" t="s">
        <v>31</v>
      </c>
      <c r="S69" t="s">
        <v>28</v>
      </c>
      <c r="T69" t="str">
        <f>"99144704"</f>
        <v>99144704</v>
      </c>
      <c r="U69" t="s">
        <v>250</v>
      </c>
      <c r="V69" t="s">
        <v>251</v>
      </c>
    </row>
    <row r="70" spans="1:22" x14ac:dyDescent="0.25">
      <c r="A70" t="str">
        <f t="shared" si="7"/>
        <v>10807</v>
      </c>
      <c r="B70" t="s">
        <v>22</v>
      </c>
      <c r="C70" t="s">
        <v>23</v>
      </c>
      <c r="D70" s="1" t="s">
        <v>245</v>
      </c>
      <c r="E70" t="s">
        <v>25</v>
      </c>
      <c r="F70" t="s">
        <v>26</v>
      </c>
      <c r="G70" t="str">
        <f t="shared" si="8"/>
        <v>37</v>
      </c>
      <c r="H70" t="str">
        <f t="shared" si="9"/>
        <v>11</v>
      </c>
      <c r="I70" t="s">
        <v>27</v>
      </c>
      <c r="J70">
        <v>20</v>
      </c>
      <c r="K70">
        <v>20</v>
      </c>
      <c r="L70" s="1">
        <f t="shared" si="10"/>
        <v>20000</v>
      </c>
      <c r="M70" t="s">
        <v>252</v>
      </c>
      <c r="N70">
        <v>1</v>
      </c>
      <c r="O70" t="str">
        <f t="shared" si="11"/>
        <v>722</v>
      </c>
      <c r="P70" t="s">
        <v>30</v>
      </c>
      <c r="Q70" t="s">
        <v>27</v>
      </c>
      <c r="R70" t="s">
        <v>31</v>
      </c>
      <c r="S70" t="s">
        <v>28</v>
      </c>
      <c r="T70" t="str">
        <f>"99526864"</f>
        <v>99526864</v>
      </c>
      <c r="U70" t="s">
        <v>253</v>
      </c>
      <c r="V70" t="s">
        <v>254</v>
      </c>
    </row>
    <row r="71" spans="1:22" x14ac:dyDescent="0.25">
      <c r="A71" t="str">
        <f t="shared" si="7"/>
        <v>10807</v>
      </c>
      <c r="B71" t="s">
        <v>22</v>
      </c>
      <c r="C71" t="s">
        <v>23</v>
      </c>
      <c r="D71" s="1" t="s">
        <v>245</v>
      </c>
      <c r="E71" t="s">
        <v>25</v>
      </c>
      <c r="F71" t="s">
        <v>26</v>
      </c>
      <c r="G71" t="str">
        <f t="shared" si="8"/>
        <v>37</v>
      </c>
      <c r="H71" t="str">
        <f t="shared" si="9"/>
        <v>11</v>
      </c>
      <c r="I71" t="s">
        <v>27</v>
      </c>
      <c r="J71">
        <v>20</v>
      </c>
      <c r="K71">
        <v>20</v>
      </c>
      <c r="L71" s="1">
        <f t="shared" si="10"/>
        <v>20000</v>
      </c>
      <c r="M71" t="s">
        <v>255</v>
      </c>
      <c r="N71">
        <v>1</v>
      </c>
      <c r="O71" t="str">
        <f t="shared" si="11"/>
        <v>722</v>
      </c>
      <c r="P71" t="s">
        <v>30</v>
      </c>
      <c r="Q71" t="s">
        <v>27</v>
      </c>
      <c r="R71" t="s">
        <v>31</v>
      </c>
      <c r="S71" t="s">
        <v>28</v>
      </c>
      <c r="T71" t="str">
        <f>"87905025"</f>
        <v>87905025</v>
      </c>
      <c r="U71" t="s">
        <v>256</v>
      </c>
      <c r="V71" t="s">
        <v>257</v>
      </c>
    </row>
    <row r="72" spans="1:22" x14ac:dyDescent="0.25">
      <c r="A72" t="str">
        <f t="shared" si="7"/>
        <v>10807</v>
      </c>
      <c r="B72" t="s">
        <v>22</v>
      </c>
      <c r="C72" t="s">
        <v>23</v>
      </c>
      <c r="D72" s="1" t="s">
        <v>258</v>
      </c>
      <c r="E72" t="s">
        <v>25</v>
      </c>
      <c r="F72" t="s">
        <v>26</v>
      </c>
      <c r="G72" t="str">
        <f t="shared" si="8"/>
        <v>37</v>
      </c>
      <c r="H72" t="str">
        <f t="shared" si="9"/>
        <v>11</v>
      </c>
      <c r="I72" t="s">
        <v>27</v>
      </c>
      <c r="J72">
        <v>20</v>
      </c>
      <c r="K72">
        <v>20</v>
      </c>
      <c r="L72" s="1">
        <f t="shared" si="10"/>
        <v>20000</v>
      </c>
      <c r="M72" t="s">
        <v>259</v>
      </c>
      <c r="N72">
        <v>1</v>
      </c>
      <c r="O72" t="str">
        <f t="shared" si="11"/>
        <v>722</v>
      </c>
      <c r="P72" t="s">
        <v>30</v>
      </c>
      <c r="Q72" t="s">
        <v>27</v>
      </c>
      <c r="R72" t="s">
        <v>31</v>
      </c>
      <c r="S72" t="s">
        <v>28</v>
      </c>
      <c r="T72" t="str">
        <f>"20255705"</f>
        <v>20255705</v>
      </c>
      <c r="U72" t="s">
        <v>260</v>
      </c>
      <c r="V72" t="s">
        <v>261</v>
      </c>
    </row>
    <row r="73" spans="1:22" x14ac:dyDescent="0.25">
      <c r="A73" t="str">
        <f t="shared" si="7"/>
        <v>10807</v>
      </c>
      <c r="B73" t="s">
        <v>22</v>
      </c>
      <c r="C73" t="s">
        <v>23</v>
      </c>
      <c r="D73" s="1" t="s">
        <v>258</v>
      </c>
      <c r="E73" t="s">
        <v>25</v>
      </c>
      <c r="F73" t="s">
        <v>26</v>
      </c>
      <c r="G73" t="str">
        <f t="shared" si="8"/>
        <v>37</v>
      </c>
      <c r="H73" t="str">
        <f t="shared" si="9"/>
        <v>11</v>
      </c>
      <c r="I73" t="s">
        <v>37</v>
      </c>
      <c r="J73">
        <v>30</v>
      </c>
      <c r="K73">
        <v>30</v>
      </c>
      <c r="L73" s="1">
        <f t="shared" si="10"/>
        <v>30000</v>
      </c>
      <c r="M73" t="s">
        <v>262</v>
      </c>
      <c r="N73">
        <v>1</v>
      </c>
      <c r="O73" t="str">
        <f t="shared" si="11"/>
        <v>722</v>
      </c>
      <c r="P73" t="s">
        <v>39</v>
      </c>
      <c r="Q73" t="s">
        <v>37</v>
      </c>
      <c r="R73" t="s">
        <v>31</v>
      </c>
      <c r="S73" t="s">
        <v>28</v>
      </c>
      <c r="T73" t="str">
        <f>"99479200"</f>
        <v>99479200</v>
      </c>
      <c r="U73" t="s">
        <v>263</v>
      </c>
      <c r="V73" t="s">
        <v>264</v>
      </c>
    </row>
    <row r="74" spans="1:22" x14ac:dyDescent="0.25">
      <c r="A74" t="str">
        <f t="shared" si="7"/>
        <v>10807</v>
      </c>
      <c r="B74" t="s">
        <v>22</v>
      </c>
      <c r="C74" t="s">
        <v>23</v>
      </c>
      <c r="D74" s="1" t="s">
        <v>258</v>
      </c>
      <c r="E74" t="s">
        <v>25</v>
      </c>
      <c r="F74" t="s">
        <v>26</v>
      </c>
      <c r="G74" t="str">
        <f t="shared" si="8"/>
        <v>37</v>
      </c>
      <c r="H74" t="str">
        <f t="shared" si="9"/>
        <v>11</v>
      </c>
      <c r="I74" t="s">
        <v>37</v>
      </c>
      <c r="J74">
        <v>20</v>
      </c>
      <c r="K74">
        <v>20</v>
      </c>
      <c r="L74" s="1">
        <f t="shared" si="10"/>
        <v>20000</v>
      </c>
      <c r="M74" t="s">
        <v>265</v>
      </c>
      <c r="N74">
        <v>1</v>
      </c>
      <c r="O74" t="str">
        <f t="shared" si="11"/>
        <v>722</v>
      </c>
      <c r="P74" t="s">
        <v>39</v>
      </c>
      <c r="Q74" t="s">
        <v>37</v>
      </c>
      <c r="R74" t="s">
        <v>31</v>
      </c>
      <c r="S74" t="s">
        <v>28</v>
      </c>
      <c r="T74" t="str">
        <f>"14925290"</f>
        <v>14925290</v>
      </c>
      <c r="U74" t="s">
        <v>266</v>
      </c>
      <c r="V74" t="s">
        <v>267</v>
      </c>
    </row>
    <row r="75" spans="1:22" x14ac:dyDescent="0.25">
      <c r="A75" t="str">
        <f t="shared" si="7"/>
        <v>10807</v>
      </c>
      <c r="B75" t="s">
        <v>22</v>
      </c>
      <c r="C75" t="s">
        <v>23</v>
      </c>
      <c r="D75" s="1" t="s">
        <v>258</v>
      </c>
      <c r="E75" t="s">
        <v>25</v>
      </c>
      <c r="F75" t="s">
        <v>26</v>
      </c>
      <c r="G75" t="str">
        <f t="shared" si="8"/>
        <v>37</v>
      </c>
      <c r="H75" t="str">
        <f t="shared" si="9"/>
        <v>11</v>
      </c>
      <c r="I75" t="s">
        <v>37</v>
      </c>
      <c r="J75">
        <v>20</v>
      </c>
      <c r="K75">
        <v>20</v>
      </c>
      <c r="L75" s="1">
        <f t="shared" si="10"/>
        <v>20000</v>
      </c>
      <c r="M75" t="s">
        <v>268</v>
      </c>
      <c r="N75">
        <v>1</v>
      </c>
      <c r="O75" t="str">
        <f t="shared" si="11"/>
        <v>722</v>
      </c>
      <c r="P75" t="s">
        <v>39</v>
      </c>
      <c r="Q75" t="s">
        <v>37</v>
      </c>
      <c r="R75" t="s">
        <v>31</v>
      </c>
      <c r="S75" t="s">
        <v>28</v>
      </c>
      <c r="T75" t="str">
        <f>"17961500"</f>
        <v>17961500</v>
      </c>
      <c r="U75" t="s">
        <v>269</v>
      </c>
      <c r="V75" t="s">
        <v>270</v>
      </c>
    </row>
    <row r="76" spans="1:22" x14ac:dyDescent="0.25">
      <c r="A76" t="str">
        <f t="shared" si="7"/>
        <v>10807</v>
      </c>
      <c r="B76" t="s">
        <v>22</v>
      </c>
      <c r="C76" t="s">
        <v>23</v>
      </c>
      <c r="D76" s="1" t="s">
        <v>271</v>
      </c>
      <c r="E76" t="s">
        <v>25</v>
      </c>
      <c r="F76" t="s">
        <v>26</v>
      </c>
      <c r="G76" t="str">
        <f t="shared" si="8"/>
        <v>37</v>
      </c>
      <c r="H76" t="str">
        <f t="shared" si="9"/>
        <v>11</v>
      </c>
      <c r="I76" t="s">
        <v>27</v>
      </c>
      <c r="J76">
        <v>20</v>
      </c>
      <c r="K76">
        <v>20</v>
      </c>
      <c r="L76" s="1">
        <f t="shared" si="10"/>
        <v>20000</v>
      </c>
      <c r="M76" t="s">
        <v>272</v>
      </c>
      <c r="N76">
        <v>1</v>
      </c>
      <c r="O76" t="str">
        <f t="shared" si="11"/>
        <v>722</v>
      </c>
      <c r="P76" t="s">
        <v>30</v>
      </c>
      <c r="Q76" t="s">
        <v>27</v>
      </c>
      <c r="R76" t="s">
        <v>31</v>
      </c>
      <c r="S76" t="s">
        <v>28</v>
      </c>
      <c r="T76" t="str">
        <f>"95859565"</f>
        <v>95859565</v>
      </c>
      <c r="U76" t="s">
        <v>273</v>
      </c>
      <c r="V76" t="s">
        <v>274</v>
      </c>
    </row>
    <row r="77" spans="1:22" x14ac:dyDescent="0.25">
      <c r="A77" t="str">
        <f t="shared" si="7"/>
        <v>10807</v>
      </c>
      <c r="B77" t="s">
        <v>22</v>
      </c>
      <c r="C77" t="s">
        <v>23</v>
      </c>
      <c r="D77" s="1" t="s">
        <v>271</v>
      </c>
      <c r="E77" t="s">
        <v>25</v>
      </c>
      <c r="F77" t="s">
        <v>26</v>
      </c>
      <c r="G77" t="str">
        <f t="shared" si="8"/>
        <v>37</v>
      </c>
      <c r="H77" t="str">
        <f t="shared" si="9"/>
        <v>11</v>
      </c>
      <c r="I77" t="s">
        <v>27</v>
      </c>
      <c r="J77">
        <v>80</v>
      </c>
      <c r="K77">
        <v>80</v>
      </c>
      <c r="L77" s="1">
        <f t="shared" si="10"/>
        <v>80000</v>
      </c>
      <c r="M77" t="s">
        <v>275</v>
      </c>
      <c r="N77">
        <v>1</v>
      </c>
      <c r="O77" t="str">
        <f t="shared" si="11"/>
        <v>722</v>
      </c>
      <c r="P77" t="s">
        <v>30</v>
      </c>
      <c r="Q77" t="s">
        <v>27</v>
      </c>
      <c r="R77" t="s">
        <v>31</v>
      </c>
      <c r="S77" t="s">
        <v>28</v>
      </c>
      <c r="T77" t="str">
        <f>"99024638"</f>
        <v>99024638</v>
      </c>
      <c r="U77" t="s">
        <v>276</v>
      </c>
      <c r="V77" t="s">
        <v>277</v>
      </c>
    </row>
    <row r="78" spans="1:22" x14ac:dyDescent="0.25">
      <c r="A78" t="str">
        <f t="shared" si="7"/>
        <v>10807</v>
      </c>
      <c r="B78" t="s">
        <v>22</v>
      </c>
      <c r="C78" t="s">
        <v>23</v>
      </c>
      <c r="D78" s="1" t="s">
        <v>271</v>
      </c>
      <c r="E78" t="s">
        <v>25</v>
      </c>
      <c r="F78" t="s">
        <v>26</v>
      </c>
      <c r="G78" t="str">
        <f t="shared" si="8"/>
        <v>37</v>
      </c>
      <c r="H78" t="str">
        <f t="shared" si="9"/>
        <v>11</v>
      </c>
      <c r="I78" t="s">
        <v>37</v>
      </c>
      <c r="J78">
        <v>20</v>
      </c>
      <c r="K78">
        <v>20</v>
      </c>
      <c r="L78" s="1">
        <f t="shared" si="10"/>
        <v>20000</v>
      </c>
      <c r="M78" t="s">
        <v>278</v>
      </c>
      <c r="N78">
        <v>1</v>
      </c>
      <c r="O78" t="str">
        <f t="shared" si="11"/>
        <v>722</v>
      </c>
      <c r="P78" t="s">
        <v>39</v>
      </c>
      <c r="Q78" t="s">
        <v>37</v>
      </c>
      <c r="R78" t="s">
        <v>31</v>
      </c>
      <c r="S78" t="s">
        <v>28</v>
      </c>
      <c r="T78" t="str">
        <f>"15734115"</f>
        <v>15734115</v>
      </c>
      <c r="U78" t="s">
        <v>279</v>
      </c>
      <c r="V78" t="s">
        <v>280</v>
      </c>
    </row>
    <row r="79" spans="1:22" x14ac:dyDescent="0.25">
      <c r="A79" t="str">
        <f t="shared" si="7"/>
        <v>10807</v>
      </c>
      <c r="B79" t="s">
        <v>22</v>
      </c>
      <c r="C79" t="s">
        <v>23</v>
      </c>
      <c r="D79" s="1" t="s">
        <v>281</v>
      </c>
      <c r="E79" t="s">
        <v>25</v>
      </c>
      <c r="F79" t="s">
        <v>26</v>
      </c>
      <c r="G79" t="str">
        <f t="shared" si="8"/>
        <v>37</v>
      </c>
      <c r="H79" t="str">
        <f t="shared" si="9"/>
        <v>11</v>
      </c>
      <c r="I79" t="s">
        <v>37</v>
      </c>
      <c r="J79">
        <v>20</v>
      </c>
      <c r="K79">
        <v>20</v>
      </c>
      <c r="L79" s="1">
        <f t="shared" si="10"/>
        <v>20000</v>
      </c>
      <c r="M79" t="s">
        <v>282</v>
      </c>
      <c r="N79">
        <v>1</v>
      </c>
      <c r="O79" t="str">
        <f t="shared" si="11"/>
        <v>722</v>
      </c>
      <c r="P79" t="s">
        <v>39</v>
      </c>
      <c r="Q79" t="s">
        <v>37</v>
      </c>
      <c r="R79" t="s">
        <v>31</v>
      </c>
      <c r="S79" t="s">
        <v>28</v>
      </c>
      <c r="T79" t="str">
        <f>"98637053"</f>
        <v>98637053</v>
      </c>
      <c r="U79" t="s">
        <v>283</v>
      </c>
      <c r="V79" t="s">
        <v>284</v>
      </c>
    </row>
    <row r="80" spans="1:22" x14ac:dyDescent="0.25">
      <c r="A80" t="str">
        <f t="shared" si="7"/>
        <v>10807</v>
      </c>
      <c r="B80" t="s">
        <v>22</v>
      </c>
      <c r="C80" t="s">
        <v>23</v>
      </c>
      <c r="D80" s="1" t="s">
        <v>281</v>
      </c>
      <c r="E80" t="s">
        <v>25</v>
      </c>
      <c r="F80" t="s">
        <v>26</v>
      </c>
      <c r="G80" t="str">
        <f t="shared" si="8"/>
        <v>37</v>
      </c>
      <c r="H80" t="str">
        <f t="shared" si="9"/>
        <v>11</v>
      </c>
      <c r="I80" t="s">
        <v>37</v>
      </c>
      <c r="J80">
        <v>20</v>
      </c>
      <c r="K80">
        <v>20</v>
      </c>
      <c r="L80" s="1">
        <f t="shared" si="10"/>
        <v>20000</v>
      </c>
      <c r="M80" t="s">
        <v>285</v>
      </c>
      <c r="N80">
        <v>1</v>
      </c>
      <c r="O80" t="str">
        <f t="shared" si="11"/>
        <v>722</v>
      </c>
      <c r="P80" t="s">
        <v>39</v>
      </c>
      <c r="Q80" t="s">
        <v>37</v>
      </c>
      <c r="R80" t="s">
        <v>31</v>
      </c>
      <c r="S80" t="s">
        <v>28</v>
      </c>
      <c r="T80" t="str">
        <f>"72476861"</f>
        <v>72476861</v>
      </c>
      <c r="U80" t="s">
        <v>286</v>
      </c>
      <c r="V80" t="s">
        <v>287</v>
      </c>
    </row>
    <row r="81" spans="1:22" x14ac:dyDescent="0.25">
      <c r="A81" t="str">
        <f t="shared" si="7"/>
        <v>10807</v>
      </c>
      <c r="B81" t="s">
        <v>22</v>
      </c>
      <c r="C81" t="s">
        <v>23</v>
      </c>
      <c r="D81" s="1" t="s">
        <v>281</v>
      </c>
      <c r="E81" t="s">
        <v>25</v>
      </c>
      <c r="F81" t="s">
        <v>26</v>
      </c>
      <c r="G81" t="str">
        <f t="shared" si="8"/>
        <v>37</v>
      </c>
      <c r="H81" t="str">
        <f t="shared" si="9"/>
        <v>11</v>
      </c>
      <c r="I81" t="s">
        <v>37</v>
      </c>
      <c r="J81">
        <v>20</v>
      </c>
      <c r="K81">
        <v>20</v>
      </c>
      <c r="L81" s="1">
        <f t="shared" si="10"/>
        <v>20000</v>
      </c>
      <c r="M81" t="s">
        <v>288</v>
      </c>
      <c r="N81">
        <v>1</v>
      </c>
      <c r="O81" t="str">
        <f t="shared" si="11"/>
        <v>722</v>
      </c>
      <c r="P81" t="s">
        <v>39</v>
      </c>
      <c r="Q81" t="s">
        <v>37</v>
      </c>
      <c r="R81" t="s">
        <v>31</v>
      </c>
      <c r="S81" t="s">
        <v>28</v>
      </c>
      <c r="T81" t="str">
        <f>"37623198"</f>
        <v>37623198</v>
      </c>
      <c r="U81" t="s">
        <v>289</v>
      </c>
      <c r="V81" t="s">
        <v>290</v>
      </c>
    </row>
    <row r="82" spans="1:22" x14ac:dyDescent="0.25">
      <c r="A82" t="str">
        <f t="shared" si="7"/>
        <v>10807</v>
      </c>
      <c r="B82" t="s">
        <v>22</v>
      </c>
      <c r="C82" t="s">
        <v>23</v>
      </c>
      <c r="D82" s="1" t="s">
        <v>281</v>
      </c>
      <c r="E82" t="s">
        <v>25</v>
      </c>
      <c r="F82" t="s">
        <v>26</v>
      </c>
      <c r="G82" t="str">
        <f t="shared" si="8"/>
        <v>37</v>
      </c>
      <c r="H82" t="str">
        <f t="shared" si="9"/>
        <v>11</v>
      </c>
      <c r="I82" t="s">
        <v>37</v>
      </c>
      <c r="J82">
        <v>20</v>
      </c>
      <c r="K82">
        <v>20</v>
      </c>
      <c r="L82" s="1">
        <f t="shared" si="10"/>
        <v>20000</v>
      </c>
      <c r="M82" t="s">
        <v>291</v>
      </c>
      <c r="N82">
        <v>1</v>
      </c>
      <c r="O82" t="str">
        <f t="shared" si="11"/>
        <v>722</v>
      </c>
      <c r="P82" t="s">
        <v>39</v>
      </c>
      <c r="Q82" t="s">
        <v>37</v>
      </c>
      <c r="R82" t="s">
        <v>31</v>
      </c>
      <c r="S82" t="s">
        <v>28</v>
      </c>
      <c r="T82" t="str">
        <f>"39779288"</f>
        <v>39779288</v>
      </c>
      <c r="U82" t="s">
        <v>292</v>
      </c>
      <c r="V82" t="s">
        <v>293</v>
      </c>
    </row>
    <row r="83" spans="1:22" x14ac:dyDescent="0.25">
      <c r="A83" t="str">
        <f t="shared" si="7"/>
        <v>10807</v>
      </c>
      <c r="B83" t="s">
        <v>22</v>
      </c>
      <c r="C83" t="s">
        <v>23</v>
      </c>
      <c r="D83" s="1" t="s">
        <v>295</v>
      </c>
      <c r="E83" t="s">
        <v>25</v>
      </c>
      <c r="F83" t="s">
        <v>26</v>
      </c>
      <c r="G83" t="str">
        <f t="shared" si="8"/>
        <v>37</v>
      </c>
      <c r="H83" t="str">
        <f t="shared" ref="H83:H125" si="12">"11"</f>
        <v>11</v>
      </c>
      <c r="I83" t="s">
        <v>37</v>
      </c>
      <c r="J83">
        <v>10</v>
      </c>
      <c r="K83">
        <v>10</v>
      </c>
      <c r="L83" s="1">
        <f t="shared" ref="L83:L127" si="13">K83*1000</f>
        <v>10000</v>
      </c>
      <c r="M83" t="s">
        <v>296</v>
      </c>
      <c r="N83">
        <v>1</v>
      </c>
      <c r="O83" t="str">
        <f t="shared" ref="O83:O125" si="14">"722"</f>
        <v>722</v>
      </c>
      <c r="P83" t="s">
        <v>39</v>
      </c>
      <c r="Q83" t="s">
        <v>37</v>
      </c>
      <c r="R83" t="s">
        <v>31</v>
      </c>
      <c r="S83" t="s">
        <v>28</v>
      </c>
      <c r="T83" t="str">
        <f>"78640501"</f>
        <v>78640501</v>
      </c>
      <c r="U83" t="s">
        <v>297</v>
      </c>
      <c r="V83" t="s">
        <v>298</v>
      </c>
    </row>
    <row r="84" spans="1:22" x14ac:dyDescent="0.25">
      <c r="A84" t="str">
        <f t="shared" si="7"/>
        <v>10807</v>
      </c>
      <c r="B84" t="s">
        <v>22</v>
      </c>
      <c r="C84" t="s">
        <v>23</v>
      </c>
      <c r="D84" s="1" t="s">
        <v>295</v>
      </c>
      <c r="E84" t="s">
        <v>25</v>
      </c>
      <c r="F84" t="s">
        <v>26</v>
      </c>
      <c r="G84" t="str">
        <f t="shared" si="8"/>
        <v>37</v>
      </c>
      <c r="H84" t="str">
        <f t="shared" si="12"/>
        <v>11</v>
      </c>
      <c r="I84" t="s">
        <v>37</v>
      </c>
      <c r="J84">
        <v>20</v>
      </c>
      <c r="K84">
        <v>20</v>
      </c>
      <c r="L84" s="1">
        <f t="shared" si="13"/>
        <v>20000</v>
      </c>
      <c r="M84" t="s">
        <v>299</v>
      </c>
      <c r="N84">
        <v>1</v>
      </c>
      <c r="O84" t="str">
        <f t="shared" si="14"/>
        <v>722</v>
      </c>
      <c r="P84" t="s">
        <v>39</v>
      </c>
      <c r="Q84" t="s">
        <v>37</v>
      </c>
      <c r="R84" t="s">
        <v>31</v>
      </c>
      <c r="S84" t="s">
        <v>28</v>
      </c>
      <c r="T84" t="str">
        <f>"72482998"</f>
        <v>72482998</v>
      </c>
      <c r="U84" t="s">
        <v>300</v>
      </c>
      <c r="V84" t="s">
        <v>301</v>
      </c>
    </row>
    <row r="85" spans="1:22" x14ac:dyDescent="0.25">
      <c r="A85" t="str">
        <f t="shared" si="7"/>
        <v>10807</v>
      </c>
      <c r="B85" t="s">
        <v>22</v>
      </c>
      <c r="C85" t="s">
        <v>23</v>
      </c>
      <c r="D85" s="1" t="s">
        <v>295</v>
      </c>
      <c r="E85" t="s">
        <v>25</v>
      </c>
      <c r="F85" t="s">
        <v>26</v>
      </c>
      <c r="G85" t="str">
        <f t="shared" si="8"/>
        <v>37</v>
      </c>
      <c r="H85" t="str">
        <f t="shared" si="12"/>
        <v>11</v>
      </c>
      <c r="I85" t="s">
        <v>37</v>
      </c>
      <c r="J85">
        <v>20</v>
      </c>
      <c r="K85">
        <v>20</v>
      </c>
      <c r="L85" s="1">
        <f t="shared" si="13"/>
        <v>20000</v>
      </c>
      <c r="M85" t="s">
        <v>302</v>
      </c>
      <c r="N85">
        <v>1</v>
      </c>
      <c r="O85" t="str">
        <f t="shared" si="14"/>
        <v>722</v>
      </c>
      <c r="P85" t="s">
        <v>39</v>
      </c>
      <c r="Q85" t="s">
        <v>37</v>
      </c>
      <c r="R85" t="s">
        <v>31</v>
      </c>
      <c r="S85" t="s">
        <v>28</v>
      </c>
      <c r="T85" t="str">
        <f>"25795815"</f>
        <v>25795815</v>
      </c>
      <c r="U85" t="s">
        <v>303</v>
      </c>
      <c r="V85" t="s">
        <v>304</v>
      </c>
    </row>
    <row r="86" spans="1:22" x14ac:dyDescent="0.25">
      <c r="A86" t="str">
        <f t="shared" si="7"/>
        <v>10807</v>
      </c>
      <c r="B86" t="s">
        <v>22</v>
      </c>
      <c r="C86" t="s">
        <v>23</v>
      </c>
      <c r="D86" s="1" t="s">
        <v>305</v>
      </c>
      <c r="E86" t="s">
        <v>25</v>
      </c>
      <c r="F86" t="s">
        <v>26</v>
      </c>
      <c r="G86" t="str">
        <f t="shared" si="8"/>
        <v>37</v>
      </c>
      <c r="H86" t="str">
        <f t="shared" si="12"/>
        <v>11</v>
      </c>
      <c r="I86" t="s">
        <v>37</v>
      </c>
      <c r="J86">
        <v>30</v>
      </c>
      <c r="K86">
        <v>30</v>
      </c>
      <c r="L86" s="1">
        <f t="shared" si="13"/>
        <v>30000</v>
      </c>
      <c r="M86" t="s">
        <v>306</v>
      </c>
      <c r="N86">
        <v>1</v>
      </c>
      <c r="O86" t="str">
        <f t="shared" si="14"/>
        <v>722</v>
      </c>
      <c r="P86" t="s">
        <v>39</v>
      </c>
      <c r="Q86" t="s">
        <v>37</v>
      </c>
      <c r="R86" t="s">
        <v>31</v>
      </c>
      <c r="S86" t="s">
        <v>28</v>
      </c>
      <c r="T86" t="str">
        <f>"21675634"</f>
        <v>21675634</v>
      </c>
      <c r="U86" t="s">
        <v>307</v>
      </c>
      <c r="V86" t="s">
        <v>308</v>
      </c>
    </row>
    <row r="87" spans="1:22" x14ac:dyDescent="0.25">
      <c r="A87" t="str">
        <f t="shared" si="7"/>
        <v>10807</v>
      </c>
      <c r="B87" t="s">
        <v>22</v>
      </c>
      <c r="C87" t="s">
        <v>23</v>
      </c>
      <c r="D87" s="1" t="s">
        <v>305</v>
      </c>
      <c r="E87" t="s">
        <v>25</v>
      </c>
      <c r="F87" t="s">
        <v>26</v>
      </c>
      <c r="G87" t="str">
        <f t="shared" si="8"/>
        <v>37</v>
      </c>
      <c r="H87" t="str">
        <f t="shared" si="12"/>
        <v>11</v>
      </c>
      <c r="I87" t="s">
        <v>37</v>
      </c>
      <c r="J87">
        <v>20</v>
      </c>
      <c r="K87">
        <v>20</v>
      </c>
      <c r="L87" s="1">
        <f t="shared" si="13"/>
        <v>20000</v>
      </c>
      <c r="M87" t="s">
        <v>56</v>
      </c>
      <c r="N87">
        <v>1</v>
      </c>
      <c r="O87" t="str">
        <f t="shared" si="14"/>
        <v>722</v>
      </c>
      <c r="P87" t="s">
        <v>39</v>
      </c>
      <c r="Q87" t="s">
        <v>37</v>
      </c>
      <c r="R87" t="s">
        <v>31</v>
      </c>
      <c r="S87" t="s">
        <v>28</v>
      </c>
      <c r="T87" t="str">
        <f>"74877547"</f>
        <v>74877547</v>
      </c>
      <c r="U87" t="s">
        <v>309</v>
      </c>
      <c r="V87" t="s">
        <v>310</v>
      </c>
    </row>
    <row r="88" spans="1:22" x14ac:dyDescent="0.25">
      <c r="A88" t="str">
        <f t="shared" si="7"/>
        <v>10807</v>
      </c>
      <c r="B88" t="s">
        <v>22</v>
      </c>
      <c r="C88" t="s">
        <v>23</v>
      </c>
      <c r="D88" s="1" t="s">
        <v>305</v>
      </c>
      <c r="E88" t="s">
        <v>25</v>
      </c>
      <c r="F88" t="s">
        <v>26</v>
      </c>
      <c r="G88" t="str">
        <f t="shared" si="8"/>
        <v>37</v>
      </c>
      <c r="H88" t="str">
        <f t="shared" si="12"/>
        <v>11</v>
      </c>
      <c r="I88" t="s">
        <v>37</v>
      </c>
      <c r="J88">
        <v>15</v>
      </c>
      <c r="K88">
        <v>15</v>
      </c>
      <c r="L88" s="1">
        <f t="shared" si="13"/>
        <v>15000</v>
      </c>
      <c r="M88" t="s">
        <v>311</v>
      </c>
      <c r="N88">
        <v>1</v>
      </c>
      <c r="O88" t="str">
        <f t="shared" si="14"/>
        <v>722</v>
      </c>
      <c r="P88" t="s">
        <v>39</v>
      </c>
      <c r="Q88" t="s">
        <v>37</v>
      </c>
      <c r="R88" t="s">
        <v>31</v>
      </c>
      <c r="S88" t="s">
        <v>28</v>
      </c>
      <c r="T88" t="str">
        <f>"77392454"</f>
        <v>77392454</v>
      </c>
      <c r="U88" t="s">
        <v>312</v>
      </c>
      <c r="V88" t="s">
        <v>313</v>
      </c>
    </row>
    <row r="89" spans="1:22" x14ac:dyDescent="0.25">
      <c r="A89" t="str">
        <f t="shared" si="7"/>
        <v>10807</v>
      </c>
      <c r="B89" t="s">
        <v>22</v>
      </c>
      <c r="C89" t="s">
        <v>23</v>
      </c>
      <c r="D89" s="1" t="s">
        <v>305</v>
      </c>
      <c r="E89" t="s">
        <v>25</v>
      </c>
      <c r="F89" t="s">
        <v>26</v>
      </c>
      <c r="G89" t="str">
        <f t="shared" si="8"/>
        <v>37</v>
      </c>
      <c r="H89" t="str">
        <f t="shared" si="12"/>
        <v>11</v>
      </c>
      <c r="I89" t="s">
        <v>37</v>
      </c>
      <c r="J89">
        <v>20</v>
      </c>
      <c r="K89">
        <v>20</v>
      </c>
      <c r="L89" s="1">
        <f t="shared" si="13"/>
        <v>20000</v>
      </c>
      <c r="M89" t="s">
        <v>314</v>
      </c>
      <c r="N89">
        <v>1</v>
      </c>
      <c r="O89" t="str">
        <f t="shared" si="14"/>
        <v>722</v>
      </c>
      <c r="P89" t="s">
        <v>39</v>
      </c>
      <c r="Q89" t="s">
        <v>37</v>
      </c>
      <c r="R89" t="s">
        <v>31</v>
      </c>
      <c r="S89" t="s">
        <v>28</v>
      </c>
      <c r="T89" t="str">
        <f>"10462584"</f>
        <v>10462584</v>
      </c>
      <c r="U89" t="s">
        <v>315</v>
      </c>
      <c r="V89" t="s">
        <v>316</v>
      </c>
    </row>
    <row r="90" spans="1:22" x14ac:dyDescent="0.25">
      <c r="A90" t="str">
        <f t="shared" si="7"/>
        <v>10807</v>
      </c>
      <c r="B90" t="s">
        <v>22</v>
      </c>
      <c r="C90" t="s">
        <v>23</v>
      </c>
      <c r="D90" s="1" t="s">
        <v>317</v>
      </c>
      <c r="E90" t="s">
        <v>25</v>
      </c>
      <c r="F90" t="s">
        <v>26</v>
      </c>
      <c r="G90" t="str">
        <f t="shared" si="8"/>
        <v>37</v>
      </c>
      <c r="H90" t="str">
        <f t="shared" si="12"/>
        <v>11</v>
      </c>
      <c r="I90" t="s">
        <v>27</v>
      </c>
      <c r="J90">
        <v>50</v>
      </c>
      <c r="K90">
        <v>50</v>
      </c>
      <c r="L90" s="1">
        <f t="shared" si="13"/>
        <v>50000</v>
      </c>
      <c r="M90" t="s">
        <v>318</v>
      </c>
      <c r="N90">
        <v>1</v>
      </c>
      <c r="O90" t="str">
        <f t="shared" si="14"/>
        <v>722</v>
      </c>
      <c r="P90" t="s">
        <v>30</v>
      </c>
      <c r="Q90" t="s">
        <v>27</v>
      </c>
      <c r="R90" t="s">
        <v>31</v>
      </c>
      <c r="S90" t="s">
        <v>28</v>
      </c>
      <c r="T90" t="str">
        <f>"36766133"</f>
        <v>36766133</v>
      </c>
      <c r="U90" t="s">
        <v>319</v>
      </c>
      <c r="V90" t="s">
        <v>320</v>
      </c>
    </row>
    <row r="91" spans="1:22" x14ac:dyDescent="0.25">
      <c r="A91" t="str">
        <f t="shared" si="7"/>
        <v>10807</v>
      </c>
      <c r="B91" t="s">
        <v>22</v>
      </c>
      <c r="C91" t="s">
        <v>23</v>
      </c>
      <c r="D91" s="1" t="s">
        <v>317</v>
      </c>
      <c r="E91" t="s">
        <v>25</v>
      </c>
      <c r="F91" t="s">
        <v>26</v>
      </c>
      <c r="G91" t="str">
        <f t="shared" si="8"/>
        <v>37</v>
      </c>
      <c r="H91" t="str">
        <f t="shared" si="12"/>
        <v>11</v>
      </c>
      <c r="I91" t="s">
        <v>37</v>
      </c>
      <c r="J91">
        <v>20</v>
      </c>
      <c r="K91">
        <v>20</v>
      </c>
      <c r="L91" s="1">
        <f t="shared" si="13"/>
        <v>20000</v>
      </c>
      <c r="M91" t="s">
        <v>321</v>
      </c>
      <c r="N91">
        <v>1</v>
      </c>
      <c r="O91" t="str">
        <f t="shared" si="14"/>
        <v>722</v>
      </c>
      <c r="P91" t="s">
        <v>39</v>
      </c>
      <c r="Q91" t="s">
        <v>37</v>
      </c>
      <c r="R91" t="s">
        <v>31</v>
      </c>
      <c r="S91" t="s">
        <v>28</v>
      </c>
      <c r="T91" t="str">
        <f>"39751845"</f>
        <v>39751845</v>
      </c>
      <c r="U91" t="s">
        <v>322</v>
      </c>
      <c r="V91" t="s">
        <v>323</v>
      </c>
    </row>
    <row r="92" spans="1:22" x14ac:dyDescent="0.25">
      <c r="A92" t="str">
        <f t="shared" si="7"/>
        <v>10807</v>
      </c>
      <c r="B92" t="s">
        <v>22</v>
      </c>
      <c r="C92" t="s">
        <v>23</v>
      </c>
      <c r="D92" s="1" t="s">
        <v>317</v>
      </c>
      <c r="E92" t="s">
        <v>25</v>
      </c>
      <c r="F92" t="s">
        <v>26</v>
      </c>
      <c r="G92" t="str">
        <f t="shared" si="8"/>
        <v>37</v>
      </c>
      <c r="H92" t="str">
        <f t="shared" si="12"/>
        <v>11</v>
      </c>
      <c r="I92" t="s">
        <v>37</v>
      </c>
      <c r="J92">
        <v>20</v>
      </c>
      <c r="K92">
        <v>20</v>
      </c>
      <c r="L92" s="1">
        <f t="shared" si="13"/>
        <v>20000</v>
      </c>
      <c r="M92" t="s">
        <v>324</v>
      </c>
      <c r="N92">
        <v>1</v>
      </c>
      <c r="O92" t="str">
        <f t="shared" si="14"/>
        <v>722</v>
      </c>
      <c r="P92" t="s">
        <v>39</v>
      </c>
      <c r="Q92" t="s">
        <v>37</v>
      </c>
      <c r="R92" t="s">
        <v>31</v>
      </c>
      <c r="S92" t="s">
        <v>28</v>
      </c>
      <c r="T92" t="str">
        <f>"10040213"</f>
        <v>10040213</v>
      </c>
      <c r="U92" t="s">
        <v>325</v>
      </c>
      <c r="V92" t="s">
        <v>326</v>
      </c>
    </row>
    <row r="93" spans="1:22" x14ac:dyDescent="0.25">
      <c r="A93" t="str">
        <f t="shared" si="7"/>
        <v>10807</v>
      </c>
      <c r="B93" t="s">
        <v>22</v>
      </c>
      <c r="C93" t="s">
        <v>23</v>
      </c>
      <c r="D93" s="1" t="s">
        <v>317</v>
      </c>
      <c r="E93" t="s">
        <v>25</v>
      </c>
      <c r="F93" t="s">
        <v>26</v>
      </c>
      <c r="G93" t="str">
        <f t="shared" si="8"/>
        <v>37</v>
      </c>
      <c r="H93" t="str">
        <f t="shared" si="12"/>
        <v>11</v>
      </c>
      <c r="I93" t="s">
        <v>37</v>
      </c>
      <c r="J93">
        <v>20</v>
      </c>
      <c r="K93">
        <v>20</v>
      </c>
      <c r="L93" s="1">
        <f t="shared" si="13"/>
        <v>20000</v>
      </c>
      <c r="M93" t="s">
        <v>327</v>
      </c>
      <c r="N93">
        <v>1</v>
      </c>
      <c r="O93" t="str">
        <f t="shared" si="14"/>
        <v>722</v>
      </c>
      <c r="P93" t="s">
        <v>39</v>
      </c>
      <c r="Q93" t="s">
        <v>37</v>
      </c>
      <c r="R93" t="s">
        <v>31</v>
      </c>
      <c r="S93" t="s">
        <v>28</v>
      </c>
      <c r="T93" t="str">
        <f>"40814312"</f>
        <v>40814312</v>
      </c>
      <c r="U93" t="s">
        <v>328</v>
      </c>
      <c r="V93" t="s">
        <v>329</v>
      </c>
    </row>
    <row r="94" spans="1:22" x14ac:dyDescent="0.25">
      <c r="A94" t="str">
        <f t="shared" si="7"/>
        <v>10807</v>
      </c>
      <c r="B94" t="s">
        <v>22</v>
      </c>
      <c r="C94" t="s">
        <v>23</v>
      </c>
      <c r="D94" s="1" t="s">
        <v>330</v>
      </c>
      <c r="E94" t="s">
        <v>25</v>
      </c>
      <c r="F94" t="s">
        <v>26</v>
      </c>
      <c r="G94" t="str">
        <f t="shared" si="8"/>
        <v>37</v>
      </c>
      <c r="H94" t="str">
        <f t="shared" si="12"/>
        <v>11</v>
      </c>
      <c r="I94" t="s">
        <v>37</v>
      </c>
      <c r="J94">
        <v>20</v>
      </c>
      <c r="K94">
        <v>20</v>
      </c>
      <c r="L94" s="1">
        <f t="shared" si="13"/>
        <v>20000</v>
      </c>
      <c r="M94" t="s">
        <v>331</v>
      </c>
      <c r="N94">
        <v>1</v>
      </c>
      <c r="O94" t="str">
        <f t="shared" si="14"/>
        <v>722</v>
      </c>
      <c r="P94" t="s">
        <v>39</v>
      </c>
      <c r="Q94" t="s">
        <v>37</v>
      </c>
      <c r="R94" t="s">
        <v>31</v>
      </c>
      <c r="S94" t="s">
        <v>28</v>
      </c>
      <c r="T94" t="str">
        <f>"10737303"</f>
        <v>10737303</v>
      </c>
      <c r="U94" t="s">
        <v>332</v>
      </c>
      <c r="V94" t="s">
        <v>333</v>
      </c>
    </row>
    <row r="95" spans="1:22" x14ac:dyDescent="0.25">
      <c r="A95" t="str">
        <f t="shared" si="7"/>
        <v>10807</v>
      </c>
      <c r="B95" t="s">
        <v>22</v>
      </c>
      <c r="C95" t="s">
        <v>23</v>
      </c>
      <c r="D95" s="1" t="s">
        <v>330</v>
      </c>
      <c r="E95" t="s">
        <v>25</v>
      </c>
      <c r="F95" t="s">
        <v>26</v>
      </c>
      <c r="G95" t="str">
        <f t="shared" si="8"/>
        <v>37</v>
      </c>
      <c r="H95" t="str">
        <f t="shared" si="12"/>
        <v>11</v>
      </c>
      <c r="I95" t="s">
        <v>37</v>
      </c>
      <c r="J95">
        <v>30</v>
      </c>
      <c r="K95">
        <v>30</v>
      </c>
      <c r="L95" s="1">
        <f t="shared" si="13"/>
        <v>30000</v>
      </c>
      <c r="M95" t="s">
        <v>334</v>
      </c>
      <c r="N95">
        <v>1</v>
      </c>
      <c r="O95" t="str">
        <f t="shared" si="14"/>
        <v>722</v>
      </c>
      <c r="P95" t="s">
        <v>39</v>
      </c>
      <c r="Q95" t="s">
        <v>37</v>
      </c>
      <c r="R95" t="s">
        <v>31</v>
      </c>
      <c r="S95" t="s">
        <v>28</v>
      </c>
      <c r="T95" t="str">
        <f>"99497220"</f>
        <v>99497220</v>
      </c>
      <c r="U95" t="s">
        <v>335</v>
      </c>
      <c r="V95" t="s">
        <v>336</v>
      </c>
    </row>
    <row r="96" spans="1:22" x14ac:dyDescent="0.25">
      <c r="A96" t="str">
        <f t="shared" si="7"/>
        <v>10807</v>
      </c>
      <c r="B96" t="s">
        <v>22</v>
      </c>
      <c r="C96" t="s">
        <v>23</v>
      </c>
      <c r="D96" s="1" t="s">
        <v>330</v>
      </c>
      <c r="E96" t="s">
        <v>25</v>
      </c>
      <c r="F96" t="s">
        <v>26</v>
      </c>
      <c r="G96" t="str">
        <f t="shared" si="8"/>
        <v>37</v>
      </c>
      <c r="H96" t="str">
        <f t="shared" si="12"/>
        <v>11</v>
      </c>
      <c r="I96" t="s">
        <v>27</v>
      </c>
      <c r="J96">
        <v>50</v>
      </c>
      <c r="K96">
        <v>50</v>
      </c>
      <c r="L96" s="1">
        <f t="shared" si="13"/>
        <v>50000</v>
      </c>
      <c r="M96" t="s">
        <v>337</v>
      </c>
      <c r="N96">
        <v>1</v>
      </c>
      <c r="O96" t="str">
        <f t="shared" si="14"/>
        <v>722</v>
      </c>
      <c r="P96" t="s">
        <v>30</v>
      </c>
      <c r="Q96" t="s">
        <v>27</v>
      </c>
      <c r="R96" t="s">
        <v>31</v>
      </c>
      <c r="S96" t="s">
        <v>28</v>
      </c>
      <c r="T96" t="str">
        <f>"45497413"</f>
        <v>45497413</v>
      </c>
      <c r="U96" t="s">
        <v>338</v>
      </c>
      <c r="V96" t="s">
        <v>339</v>
      </c>
    </row>
    <row r="97" spans="1:22" x14ac:dyDescent="0.25">
      <c r="A97" t="str">
        <f t="shared" si="7"/>
        <v>10807</v>
      </c>
      <c r="B97" t="s">
        <v>22</v>
      </c>
      <c r="C97" t="s">
        <v>23</v>
      </c>
      <c r="D97" s="1" t="s">
        <v>330</v>
      </c>
      <c r="E97" t="s">
        <v>25</v>
      </c>
      <c r="F97" t="s">
        <v>26</v>
      </c>
      <c r="G97" t="str">
        <f t="shared" si="8"/>
        <v>37</v>
      </c>
      <c r="H97" t="str">
        <f t="shared" si="12"/>
        <v>11</v>
      </c>
      <c r="I97" t="s">
        <v>37</v>
      </c>
      <c r="J97">
        <v>40</v>
      </c>
      <c r="K97">
        <v>40</v>
      </c>
      <c r="L97" s="1">
        <f t="shared" si="13"/>
        <v>40000</v>
      </c>
      <c r="M97" t="s">
        <v>340</v>
      </c>
      <c r="N97">
        <v>1</v>
      </c>
      <c r="O97" t="str">
        <f t="shared" si="14"/>
        <v>722</v>
      </c>
      <c r="P97" t="s">
        <v>39</v>
      </c>
      <c r="Q97" t="s">
        <v>37</v>
      </c>
      <c r="R97" t="s">
        <v>31</v>
      </c>
      <c r="S97" t="s">
        <v>28</v>
      </c>
      <c r="T97" t="str">
        <f>"36686928"</f>
        <v>36686928</v>
      </c>
      <c r="U97" t="s">
        <v>341</v>
      </c>
      <c r="V97" t="s">
        <v>342</v>
      </c>
    </row>
    <row r="98" spans="1:22" x14ac:dyDescent="0.25">
      <c r="A98" t="str">
        <f t="shared" si="7"/>
        <v>10807</v>
      </c>
      <c r="B98" t="s">
        <v>22</v>
      </c>
      <c r="C98" t="s">
        <v>23</v>
      </c>
      <c r="D98" s="1" t="s">
        <v>343</v>
      </c>
      <c r="E98" t="s">
        <v>25</v>
      </c>
      <c r="F98" t="s">
        <v>26</v>
      </c>
      <c r="G98" t="str">
        <f t="shared" si="8"/>
        <v>37</v>
      </c>
      <c r="H98" t="str">
        <f t="shared" si="12"/>
        <v>11</v>
      </c>
      <c r="I98" t="s">
        <v>37</v>
      </c>
      <c r="J98">
        <v>20</v>
      </c>
      <c r="K98">
        <v>20</v>
      </c>
      <c r="L98" s="1">
        <f t="shared" si="13"/>
        <v>20000</v>
      </c>
      <c r="M98" t="s">
        <v>344</v>
      </c>
      <c r="N98">
        <v>1</v>
      </c>
      <c r="O98" t="str">
        <f t="shared" si="14"/>
        <v>722</v>
      </c>
      <c r="P98" t="s">
        <v>39</v>
      </c>
      <c r="Q98" t="s">
        <v>37</v>
      </c>
      <c r="R98" t="s">
        <v>31</v>
      </c>
      <c r="S98" t="s">
        <v>28</v>
      </c>
      <c r="T98" t="str">
        <f>"36850862"</f>
        <v>36850862</v>
      </c>
      <c r="U98" t="s">
        <v>345</v>
      </c>
      <c r="V98" t="s">
        <v>346</v>
      </c>
    </row>
    <row r="99" spans="1:22" x14ac:dyDescent="0.25">
      <c r="A99" t="str">
        <f t="shared" si="7"/>
        <v>10807</v>
      </c>
      <c r="B99" t="s">
        <v>22</v>
      </c>
      <c r="C99" t="s">
        <v>23</v>
      </c>
      <c r="D99" s="1" t="s">
        <v>343</v>
      </c>
      <c r="E99" t="s">
        <v>25</v>
      </c>
      <c r="F99" t="s">
        <v>26</v>
      </c>
      <c r="G99" t="str">
        <f t="shared" si="8"/>
        <v>37</v>
      </c>
      <c r="H99" t="str">
        <f t="shared" si="12"/>
        <v>11</v>
      </c>
      <c r="I99" t="s">
        <v>37</v>
      </c>
      <c r="J99">
        <v>20</v>
      </c>
      <c r="K99">
        <v>20</v>
      </c>
      <c r="L99" s="1">
        <f t="shared" si="13"/>
        <v>20000</v>
      </c>
      <c r="M99" t="s">
        <v>347</v>
      </c>
      <c r="N99">
        <v>1</v>
      </c>
      <c r="O99" t="str">
        <f t="shared" si="14"/>
        <v>722</v>
      </c>
      <c r="P99" t="s">
        <v>39</v>
      </c>
      <c r="Q99" t="s">
        <v>37</v>
      </c>
      <c r="R99" t="s">
        <v>31</v>
      </c>
      <c r="S99" t="s">
        <v>28</v>
      </c>
      <c r="T99" t="str">
        <f>"26829089"</f>
        <v>26829089</v>
      </c>
      <c r="U99" t="s">
        <v>348</v>
      </c>
      <c r="V99" t="s">
        <v>349</v>
      </c>
    </row>
    <row r="100" spans="1:22" x14ac:dyDescent="0.25">
      <c r="A100" t="str">
        <f t="shared" si="7"/>
        <v>10807</v>
      </c>
      <c r="B100" t="s">
        <v>22</v>
      </c>
      <c r="C100" t="s">
        <v>23</v>
      </c>
      <c r="D100" s="1" t="s">
        <v>343</v>
      </c>
      <c r="E100" t="s">
        <v>25</v>
      </c>
      <c r="F100" t="s">
        <v>26</v>
      </c>
      <c r="G100" t="str">
        <f t="shared" si="8"/>
        <v>37</v>
      </c>
      <c r="H100" t="str">
        <f t="shared" si="12"/>
        <v>11</v>
      </c>
      <c r="I100" t="s">
        <v>37</v>
      </c>
      <c r="J100">
        <v>20</v>
      </c>
      <c r="K100">
        <v>20</v>
      </c>
      <c r="L100" s="1">
        <f t="shared" si="13"/>
        <v>20000</v>
      </c>
      <c r="M100" t="s">
        <v>350</v>
      </c>
      <c r="N100">
        <v>1</v>
      </c>
      <c r="O100" t="str">
        <f t="shared" si="14"/>
        <v>722</v>
      </c>
      <c r="P100" t="s">
        <v>39</v>
      </c>
      <c r="Q100" t="s">
        <v>37</v>
      </c>
      <c r="R100" t="s">
        <v>31</v>
      </c>
      <c r="S100" t="s">
        <v>28</v>
      </c>
      <c r="T100" t="str">
        <f>"66995865"</f>
        <v>66995865</v>
      </c>
      <c r="U100" t="s">
        <v>351</v>
      </c>
      <c r="V100" t="s">
        <v>352</v>
      </c>
    </row>
    <row r="101" spans="1:22" x14ac:dyDescent="0.25">
      <c r="A101" t="str">
        <f t="shared" si="7"/>
        <v>10807</v>
      </c>
      <c r="B101" t="s">
        <v>22</v>
      </c>
      <c r="C101" t="s">
        <v>23</v>
      </c>
      <c r="D101" s="1" t="s">
        <v>343</v>
      </c>
      <c r="E101" t="s">
        <v>25</v>
      </c>
      <c r="F101" t="s">
        <v>26</v>
      </c>
      <c r="G101" t="str">
        <f t="shared" si="8"/>
        <v>37</v>
      </c>
      <c r="H101" t="str">
        <f t="shared" si="12"/>
        <v>11</v>
      </c>
      <c r="I101" t="s">
        <v>37</v>
      </c>
      <c r="J101">
        <v>50</v>
      </c>
      <c r="K101">
        <v>50</v>
      </c>
      <c r="L101" s="1">
        <f t="shared" si="13"/>
        <v>50000</v>
      </c>
      <c r="M101" t="s">
        <v>353</v>
      </c>
      <c r="N101">
        <v>1</v>
      </c>
      <c r="O101" t="str">
        <f t="shared" si="14"/>
        <v>722</v>
      </c>
      <c r="P101" t="s">
        <v>39</v>
      </c>
      <c r="Q101" t="s">
        <v>37</v>
      </c>
      <c r="R101" t="s">
        <v>31</v>
      </c>
      <c r="S101" t="s">
        <v>28</v>
      </c>
      <c r="T101" t="str">
        <f>"31907893"</f>
        <v>31907893</v>
      </c>
      <c r="U101" t="s">
        <v>354</v>
      </c>
      <c r="V101" t="s">
        <v>355</v>
      </c>
    </row>
    <row r="102" spans="1:22" x14ac:dyDescent="0.25">
      <c r="A102" t="str">
        <f t="shared" si="7"/>
        <v>10807</v>
      </c>
      <c r="B102" t="s">
        <v>22</v>
      </c>
      <c r="C102" t="s">
        <v>23</v>
      </c>
      <c r="D102" s="1" t="s">
        <v>356</v>
      </c>
      <c r="E102" t="s">
        <v>25</v>
      </c>
      <c r="F102" t="s">
        <v>26</v>
      </c>
      <c r="G102" t="str">
        <f t="shared" si="8"/>
        <v>37</v>
      </c>
      <c r="H102" t="str">
        <f t="shared" si="12"/>
        <v>11</v>
      </c>
      <c r="I102" t="s">
        <v>37</v>
      </c>
      <c r="J102">
        <v>30</v>
      </c>
      <c r="K102">
        <v>30</v>
      </c>
      <c r="L102" s="1">
        <f t="shared" si="13"/>
        <v>30000</v>
      </c>
      <c r="M102" t="s">
        <v>357</v>
      </c>
      <c r="N102">
        <v>1</v>
      </c>
      <c r="O102" t="str">
        <f t="shared" si="14"/>
        <v>722</v>
      </c>
      <c r="P102" t="s">
        <v>39</v>
      </c>
      <c r="Q102" t="s">
        <v>37</v>
      </c>
      <c r="R102" t="s">
        <v>31</v>
      </c>
      <c r="S102" t="s">
        <v>28</v>
      </c>
      <c r="T102" t="str">
        <f>"36797240"</f>
        <v>36797240</v>
      </c>
      <c r="U102" t="s">
        <v>358</v>
      </c>
      <c r="V102" t="s">
        <v>359</v>
      </c>
    </row>
    <row r="103" spans="1:22" x14ac:dyDescent="0.25">
      <c r="A103" t="str">
        <f t="shared" si="7"/>
        <v>10807</v>
      </c>
      <c r="B103" t="s">
        <v>22</v>
      </c>
      <c r="C103" t="s">
        <v>23</v>
      </c>
      <c r="D103" s="1" t="s">
        <v>356</v>
      </c>
      <c r="E103" t="s">
        <v>25</v>
      </c>
      <c r="F103" t="s">
        <v>26</v>
      </c>
      <c r="G103" t="str">
        <f t="shared" si="8"/>
        <v>37</v>
      </c>
      <c r="H103" t="str">
        <f t="shared" si="12"/>
        <v>11</v>
      </c>
      <c r="I103" t="s">
        <v>37</v>
      </c>
      <c r="J103">
        <v>50</v>
      </c>
      <c r="K103">
        <v>50</v>
      </c>
      <c r="L103" s="1">
        <f t="shared" si="13"/>
        <v>50000</v>
      </c>
      <c r="M103" t="s">
        <v>360</v>
      </c>
      <c r="N103">
        <v>1</v>
      </c>
      <c r="O103" t="str">
        <f t="shared" si="14"/>
        <v>722</v>
      </c>
      <c r="P103" t="s">
        <v>39</v>
      </c>
      <c r="Q103" t="s">
        <v>37</v>
      </c>
      <c r="R103" t="s">
        <v>31</v>
      </c>
      <c r="S103" t="s">
        <v>28</v>
      </c>
      <c r="T103" t="str">
        <f>"47772421"</f>
        <v>47772421</v>
      </c>
      <c r="U103" t="s">
        <v>361</v>
      </c>
      <c r="V103" t="s">
        <v>362</v>
      </c>
    </row>
    <row r="104" spans="1:22" x14ac:dyDescent="0.25">
      <c r="A104" t="str">
        <f t="shared" si="7"/>
        <v>10807</v>
      </c>
      <c r="B104" t="s">
        <v>22</v>
      </c>
      <c r="C104" t="s">
        <v>23</v>
      </c>
      <c r="D104" s="1" t="s">
        <v>356</v>
      </c>
      <c r="E104" t="s">
        <v>25</v>
      </c>
      <c r="F104" t="s">
        <v>26</v>
      </c>
      <c r="G104" t="str">
        <f t="shared" si="8"/>
        <v>37</v>
      </c>
      <c r="H104" t="str">
        <f t="shared" si="12"/>
        <v>11</v>
      </c>
      <c r="I104" t="s">
        <v>37</v>
      </c>
      <c r="J104">
        <v>20</v>
      </c>
      <c r="K104">
        <v>20</v>
      </c>
      <c r="L104" s="1">
        <f t="shared" si="13"/>
        <v>20000</v>
      </c>
      <c r="M104" t="s">
        <v>363</v>
      </c>
      <c r="N104">
        <v>1</v>
      </c>
      <c r="O104" t="str">
        <f t="shared" si="14"/>
        <v>722</v>
      </c>
      <c r="P104" t="s">
        <v>39</v>
      </c>
      <c r="Q104" t="s">
        <v>37</v>
      </c>
      <c r="R104" t="s">
        <v>31</v>
      </c>
      <c r="S104" t="s">
        <v>28</v>
      </c>
      <c r="T104" t="str">
        <f>"19278217"</f>
        <v>19278217</v>
      </c>
      <c r="U104" t="s">
        <v>364</v>
      </c>
      <c r="V104" t="s">
        <v>365</v>
      </c>
    </row>
    <row r="105" spans="1:22" x14ac:dyDescent="0.25">
      <c r="A105" t="str">
        <f t="shared" si="7"/>
        <v>10807</v>
      </c>
      <c r="B105" t="s">
        <v>22</v>
      </c>
      <c r="C105" t="s">
        <v>23</v>
      </c>
      <c r="D105" s="1" t="s">
        <v>366</v>
      </c>
      <c r="E105" t="s">
        <v>25</v>
      </c>
      <c r="F105" t="s">
        <v>26</v>
      </c>
      <c r="G105" t="str">
        <f t="shared" si="8"/>
        <v>37</v>
      </c>
      <c r="H105" t="str">
        <f t="shared" si="12"/>
        <v>11</v>
      </c>
      <c r="I105" t="s">
        <v>37</v>
      </c>
      <c r="J105">
        <v>20</v>
      </c>
      <c r="K105">
        <v>20</v>
      </c>
      <c r="L105" s="1">
        <f t="shared" si="13"/>
        <v>20000</v>
      </c>
      <c r="M105" t="s">
        <v>344</v>
      </c>
      <c r="N105">
        <v>1</v>
      </c>
      <c r="O105" t="str">
        <f t="shared" si="14"/>
        <v>722</v>
      </c>
      <c r="P105" t="s">
        <v>39</v>
      </c>
      <c r="Q105" t="s">
        <v>37</v>
      </c>
      <c r="R105" t="s">
        <v>31</v>
      </c>
      <c r="S105" t="s">
        <v>28</v>
      </c>
      <c r="T105" t="str">
        <f>"10193532"</f>
        <v>10193532</v>
      </c>
      <c r="U105" t="s">
        <v>367</v>
      </c>
      <c r="V105" t="s">
        <v>368</v>
      </c>
    </row>
    <row r="106" spans="1:22" x14ac:dyDescent="0.25">
      <c r="A106" t="str">
        <f t="shared" si="7"/>
        <v>10807</v>
      </c>
      <c r="B106" t="s">
        <v>22</v>
      </c>
      <c r="C106" t="s">
        <v>23</v>
      </c>
      <c r="D106" s="1" t="s">
        <v>366</v>
      </c>
      <c r="E106" t="s">
        <v>25</v>
      </c>
      <c r="F106" t="s">
        <v>26</v>
      </c>
      <c r="G106" t="str">
        <f t="shared" si="8"/>
        <v>37</v>
      </c>
      <c r="H106" t="str">
        <f t="shared" si="12"/>
        <v>11</v>
      </c>
      <c r="I106" t="s">
        <v>37</v>
      </c>
      <c r="J106">
        <v>50</v>
      </c>
      <c r="K106">
        <v>50</v>
      </c>
      <c r="L106" s="1">
        <f t="shared" si="13"/>
        <v>50000</v>
      </c>
      <c r="M106" t="s">
        <v>369</v>
      </c>
      <c r="N106">
        <v>1</v>
      </c>
      <c r="O106" t="str">
        <f t="shared" si="14"/>
        <v>722</v>
      </c>
      <c r="P106" t="s">
        <v>39</v>
      </c>
      <c r="Q106" t="s">
        <v>37</v>
      </c>
      <c r="R106" t="s">
        <v>31</v>
      </c>
      <c r="S106" t="s">
        <v>28</v>
      </c>
      <c r="T106" t="str">
        <f>"81370039"</f>
        <v>81370039</v>
      </c>
      <c r="U106" t="s">
        <v>370</v>
      </c>
      <c r="V106" t="s">
        <v>371</v>
      </c>
    </row>
    <row r="107" spans="1:22" x14ac:dyDescent="0.25">
      <c r="A107" t="str">
        <f t="shared" si="7"/>
        <v>10807</v>
      </c>
      <c r="B107" t="s">
        <v>22</v>
      </c>
      <c r="C107" t="s">
        <v>23</v>
      </c>
      <c r="D107" s="1" t="s">
        <v>366</v>
      </c>
      <c r="E107" t="s">
        <v>25</v>
      </c>
      <c r="F107" t="s">
        <v>26</v>
      </c>
      <c r="G107" t="str">
        <f t="shared" si="8"/>
        <v>37</v>
      </c>
      <c r="H107" t="str">
        <f t="shared" si="12"/>
        <v>11</v>
      </c>
      <c r="I107" t="s">
        <v>37</v>
      </c>
      <c r="J107">
        <v>20</v>
      </c>
      <c r="K107">
        <v>20</v>
      </c>
      <c r="L107" s="1">
        <f t="shared" si="13"/>
        <v>20000</v>
      </c>
      <c r="M107" t="s">
        <v>372</v>
      </c>
      <c r="N107">
        <v>1</v>
      </c>
      <c r="O107" t="str">
        <f t="shared" si="14"/>
        <v>722</v>
      </c>
      <c r="P107" t="s">
        <v>39</v>
      </c>
      <c r="Q107" t="s">
        <v>37</v>
      </c>
      <c r="R107" t="s">
        <v>31</v>
      </c>
      <c r="S107" t="s">
        <v>28</v>
      </c>
      <c r="T107" t="str">
        <f>"21464770"</f>
        <v>21464770</v>
      </c>
      <c r="U107" t="s">
        <v>373</v>
      </c>
      <c r="V107" t="s">
        <v>374</v>
      </c>
    </row>
    <row r="108" spans="1:22" x14ac:dyDescent="0.25">
      <c r="A108" t="str">
        <f t="shared" si="7"/>
        <v>10807</v>
      </c>
      <c r="B108" t="s">
        <v>22</v>
      </c>
      <c r="C108" t="s">
        <v>23</v>
      </c>
      <c r="D108" s="1" t="s">
        <v>366</v>
      </c>
      <c r="E108" t="s">
        <v>25</v>
      </c>
      <c r="F108" t="s">
        <v>26</v>
      </c>
      <c r="G108" t="str">
        <f t="shared" si="8"/>
        <v>37</v>
      </c>
      <c r="H108" t="str">
        <f t="shared" si="12"/>
        <v>11</v>
      </c>
      <c r="I108" t="s">
        <v>37</v>
      </c>
      <c r="J108">
        <v>30</v>
      </c>
      <c r="K108">
        <v>30</v>
      </c>
      <c r="L108" s="1">
        <f t="shared" si="13"/>
        <v>30000</v>
      </c>
      <c r="M108" t="s">
        <v>375</v>
      </c>
      <c r="N108">
        <v>1</v>
      </c>
      <c r="O108" t="str">
        <f t="shared" si="14"/>
        <v>722</v>
      </c>
      <c r="P108" t="s">
        <v>39</v>
      </c>
      <c r="Q108" t="s">
        <v>37</v>
      </c>
      <c r="R108" t="s">
        <v>31</v>
      </c>
      <c r="S108" t="s">
        <v>28</v>
      </c>
      <c r="T108" t="str">
        <f>"18416085"</f>
        <v>18416085</v>
      </c>
      <c r="U108" t="s">
        <v>376</v>
      </c>
      <c r="V108" t="s">
        <v>377</v>
      </c>
    </row>
    <row r="109" spans="1:22" x14ac:dyDescent="0.25">
      <c r="A109" t="str">
        <f t="shared" si="7"/>
        <v>10807</v>
      </c>
      <c r="B109" t="s">
        <v>22</v>
      </c>
      <c r="C109" t="s">
        <v>23</v>
      </c>
      <c r="D109" s="1" t="s">
        <v>378</v>
      </c>
      <c r="E109" t="s">
        <v>25</v>
      </c>
      <c r="F109" t="s">
        <v>26</v>
      </c>
      <c r="G109" t="str">
        <f t="shared" si="8"/>
        <v>37</v>
      </c>
      <c r="H109" t="str">
        <f t="shared" si="12"/>
        <v>11</v>
      </c>
      <c r="I109" t="s">
        <v>37</v>
      </c>
      <c r="J109">
        <v>30</v>
      </c>
      <c r="K109">
        <v>30</v>
      </c>
      <c r="L109" s="1">
        <f t="shared" si="13"/>
        <v>30000</v>
      </c>
      <c r="M109" t="s">
        <v>379</v>
      </c>
      <c r="N109">
        <v>1</v>
      </c>
      <c r="O109" t="str">
        <f t="shared" si="14"/>
        <v>722</v>
      </c>
      <c r="P109" t="s">
        <v>39</v>
      </c>
      <c r="Q109" t="s">
        <v>37</v>
      </c>
      <c r="R109" t="s">
        <v>31</v>
      </c>
      <c r="S109" t="s">
        <v>28</v>
      </c>
      <c r="T109" t="str">
        <f>"08030891"</f>
        <v>08030891</v>
      </c>
      <c r="U109" t="s">
        <v>380</v>
      </c>
      <c r="V109" t="s">
        <v>381</v>
      </c>
    </row>
    <row r="110" spans="1:22" x14ac:dyDescent="0.25">
      <c r="A110" t="str">
        <f t="shared" si="7"/>
        <v>10807</v>
      </c>
      <c r="B110" t="s">
        <v>22</v>
      </c>
      <c r="C110" t="s">
        <v>23</v>
      </c>
      <c r="D110" s="1" t="s">
        <v>378</v>
      </c>
      <c r="E110" t="s">
        <v>25</v>
      </c>
      <c r="F110" t="s">
        <v>26</v>
      </c>
      <c r="G110" t="str">
        <f t="shared" si="8"/>
        <v>37</v>
      </c>
      <c r="H110" t="str">
        <f t="shared" si="12"/>
        <v>11</v>
      </c>
      <c r="I110" t="s">
        <v>37</v>
      </c>
      <c r="J110">
        <v>20</v>
      </c>
      <c r="K110">
        <v>20</v>
      </c>
      <c r="L110" s="1">
        <f t="shared" si="13"/>
        <v>20000</v>
      </c>
      <c r="M110" t="s">
        <v>382</v>
      </c>
      <c r="N110">
        <v>1</v>
      </c>
      <c r="O110" t="str">
        <f t="shared" si="14"/>
        <v>722</v>
      </c>
      <c r="P110" t="s">
        <v>39</v>
      </c>
      <c r="Q110" t="s">
        <v>37</v>
      </c>
      <c r="R110" t="s">
        <v>31</v>
      </c>
      <c r="S110" t="s">
        <v>28</v>
      </c>
      <c r="T110" t="str">
        <f>"25764741"</f>
        <v>25764741</v>
      </c>
      <c r="U110" t="s">
        <v>383</v>
      </c>
      <c r="V110" t="s">
        <v>384</v>
      </c>
    </row>
    <row r="111" spans="1:22" x14ac:dyDescent="0.25">
      <c r="A111" t="str">
        <f t="shared" si="7"/>
        <v>10807</v>
      </c>
      <c r="B111" t="s">
        <v>22</v>
      </c>
      <c r="C111" t="s">
        <v>23</v>
      </c>
      <c r="D111" s="1" t="s">
        <v>378</v>
      </c>
      <c r="E111" t="s">
        <v>25</v>
      </c>
      <c r="F111" t="s">
        <v>26</v>
      </c>
      <c r="G111" t="str">
        <f t="shared" si="8"/>
        <v>37</v>
      </c>
      <c r="H111" t="str">
        <f t="shared" si="12"/>
        <v>11</v>
      </c>
      <c r="I111" t="s">
        <v>37</v>
      </c>
      <c r="J111">
        <v>20</v>
      </c>
      <c r="K111">
        <v>20</v>
      </c>
      <c r="L111" s="1">
        <f t="shared" si="13"/>
        <v>20000</v>
      </c>
      <c r="M111" t="s">
        <v>385</v>
      </c>
      <c r="N111">
        <v>1</v>
      </c>
      <c r="O111" t="str">
        <f t="shared" si="14"/>
        <v>722</v>
      </c>
      <c r="P111" t="s">
        <v>39</v>
      </c>
      <c r="Q111" t="s">
        <v>37</v>
      </c>
      <c r="R111" t="s">
        <v>31</v>
      </c>
      <c r="S111" t="s">
        <v>28</v>
      </c>
      <c r="T111" t="str">
        <f>"40946995"</f>
        <v>40946995</v>
      </c>
      <c r="U111" t="s">
        <v>386</v>
      </c>
      <c r="V111" t="s">
        <v>387</v>
      </c>
    </row>
    <row r="112" spans="1:22" x14ac:dyDescent="0.25">
      <c r="A112" t="str">
        <f t="shared" si="7"/>
        <v>10807</v>
      </c>
      <c r="B112" t="s">
        <v>22</v>
      </c>
      <c r="C112" t="s">
        <v>23</v>
      </c>
      <c r="D112" s="1" t="s">
        <v>378</v>
      </c>
      <c r="E112" t="s">
        <v>25</v>
      </c>
      <c r="F112" t="s">
        <v>26</v>
      </c>
      <c r="G112" t="str">
        <f t="shared" si="8"/>
        <v>37</v>
      </c>
      <c r="H112" t="str">
        <f t="shared" si="12"/>
        <v>11</v>
      </c>
      <c r="I112" t="s">
        <v>27</v>
      </c>
      <c r="J112">
        <v>20</v>
      </c>
      <c r="K112">
        <v>20</v>
      </c>
      <c r="L112" s="1">
        <f t="shared" si="13"/>
        <v>20000</v>
      </c>
      <c r="M112" t="s">
        <v>388</v>
      </c>
      <c r="N112">
        <v>1</v>
      </c>
      <c r="O112" t="str">
        <f t="shared" si="14"/>
        <v>722</v>
      </c>
      <c r="P112" t="s">
        <v>30</v>
      </c>
      <c r="Q112" t="s">
        <v>27</v>
      </c>
      <c r="R112" t="s">
        <v>31</v>
      </c>
      <c r="S112" t="s">
        <v>28</v>
      </c>
      <c r="T112" t="str">
        <f>"26405478"</f>
        <v>26405478</v>
      </c>
      <c r="U112" t="s">
        <v>389</v>
      </c>
      <c r="V112" t="s">
        <v>390</v>
      </c>
    </row>
    <row r="113" spans="1:22" x14ac:dyDescent="0.25">
      <c r="A113" t="str">
        <f t="shared" si="7"/>
        <v>10807</v>
      </c>
      <c r="B113" t="s">
        <v>22</v>
      </c>
      <c r="C113" t="s">
        <v>23</v>
      </c>
      <c r="D113" s="1" t="s">
        <v>391</v>
      </c>
      <c r="E113" t="s">
        <v>25</v>
      </c>
      <c r="F113" t="s">
        <v>26</v>
      </c>
      <c r="G113" t="str">
        <f t="shared" si="8"/>
        <v>37</v>
      </c>
      <c r="H113" t="str">
        <f t="shared" si="12"/>
        <v>11</v>
      </c>
      <c r="I113" t="s">
        <v>37</v>
      </c>
      <c r="J113">
        <v>20</v>
      </c>
      <c r="K113">
        <v>20</v>
      </c>
      <c r="L113" s="1">
        <f t="shared" si="13"/>
        <v>20000</v>
      </c>
      <c r="M113" t="s">
        <v>392</v>
      </c>
      <c r="N113">
        <v>1</v>
      </c>
      <c r="O113" t="str">
        <f t="shared" si="14"/>
        <v>722</v>
      </c>
      <c r="P113" t="s">
        <v>39</v>
      </c>
      <c r="Q113" t="s">
        <v>37</v>
      </c>
      <c r="R113" t="s">
        <v>31</v>
      </c>
      <c r="S113" t="s">
        <v>28</v>
      </c>
      <c r="T113" t="str">
        <f>"34987049"</f>
        <v>34987049</v>
      </c>
      <c r="U113" t="s">
        <v>393</v>
      </c>
      <c r="V113" t="s">
        <v>394</v>
      </c>
    </row>
    <row r="114" spans="1:22" x14ac:dyDescent="0.25">
      <c r="A114" t="str">
        <f t="shared" si="7"/>
        <v>10807</v>
      </c>
      <c r="B114" t="s">
        <v>22</v>
      </c>
      <c r="C114" t="s">
        <v>23</v>
      </c>
      <c r="D114" s="1" t="s">
        <v>391</v>
      </c>
      <c r="E114" t="s">
        <v>25</v>
      </c>
      <c r="F114" t="s">
        <v>26</v>
      </c>
      <c r="G114" t="str">
        <f t="shared" si="8"/>
        <v>37</v>
      </c>
      <c r="H114" t="str">
        <f t="shared" si="12"/>
        <v>11</v>
      </c>
      <c r="I114" t="s">
        <v>37</v>
      </c>
      <c r="J114">
        <v>20</v>
      </c>
      <c r="K114">
        <v>20</v>
      </c>
      <c r="L114" s="1">
        <f t="shared" si="13"/>
        <v>20000</v>
      </c>
      <c r="M114" t="s">
        <v>395</v>
      </c>
      <c r="N114">
        <v>1</v>
      </c>
      <c r="O114" t="str">
        <f t="shared" si="14"/>
        <v>722</v>
      </c>
      <c r="P114" t="s">
        <v>39</v>
      </c>
      <c r="Q114" t="s">
        <v>37</v>
      </c>
      <c r="R114" t="s">
        <v>31</v>
      </c>
      <c r="S114" t="s">
        <v>28</v>
      </c>
      <c r="T114" t="str">
        <f>"81292061"</f>
        <v>81292061</v>
      </c>
      <c r="U114" t="s">
        <v>396</v>
      </c>
      <c r="V114" t="s">
        <v>397</v>
      </c>
    </row>
    <row r="115" spans="1:22" x14ac:dyDescent="0.25">
      <c r="A115" t="str">
        <f t="shared" si="7"/>
        <v>10807</v>
      </c>
      <c r="B115" t="s">
        <v>22</v>
      </c>
      <c r="C115" t="s">
        <v>23</v>
      </c>
      <c r="D115" s="1" t="s">
        <v>391</v>
      </c>
      <c r="E115" t="s">
        <v>25</v>
      </c>
      <c r="F115" t="s">
        <v>26</v>
      </c>
      <c r="G115" t="str">
        <f t="shared" si="8"/>
        <v>37</v>
      </c>
      <c r="H115" t="str">
        <f t="shared" si="12"/>
        <v>11</v>
      </c>
      <c r="I115" t="s">
        <v>37</v>
      </c>
      <c r="J115">
        <v>20</v>
      </c>
      <c r="K115">
        <v>20</v>
      </c>
      <c r="L115" s="1">
        <f t="shared" si="13"/>
        <v>20000</v>
      </c>
      <c r="M115" t="s">
        <v>398</v>
      </c>
      <c r="N115">
        <v>1</v>
      </c>
      <c r="O115" t="str">
        <f t="shared" si="14"/>
        <v>722</v>
      </c>
      <c r="P115" t="s">
        <v>39</v>
      </c>
      <c r="Q115" t="s">
        <v>37</v>
      </c>
      <c r="R115" t="s">
        <v>31</v>
      </c>
      <c r="S115" t="s">
        <v>28</v>
      </c>
      <c r="T115" t="str">
        <f>"25787505"</f>
        <v>25787505</v>
      </c>
      <c r="U115" t="s">
        <v>399</v>
      </c>
      <c r="V115" t="s">
        <v>400</v>
      </c>
    </row>
    <row r="116" spans="1:22" x14ac:dyDescent="0.25">
      <c r="A116" t="str">
        <f t="shared" si="7"/>
        <v>10807</v>
      </c>
      <c r="B116" t="s">
        <v>22</v>
      </c>
      <c r="C116" t="s">
        <v>23</v>
      </c>
      <c r="D116" s="1" t="s">
        <v>391</v>
      </c>
      <c r="E116" t="s">
        <v>25</v>
      </c>
      <c r="F116" t="s">
        <v>26</v>
      </c>
      <c r="G116" t="str">
        <f t="shared" si="8"/>
        <v>37</v>
      </c>
      <c r="H116" t="str">
        <f t="shared" si="12"/>
        <v>11</v>
      </c>
      <c r="I116" t="s">
        <v>37</v>
      </c>
      <c r="J116">
        <v>10</v>
      </c>
      <c r="K116">
        <v>10</v>
      </c>
      <c r="L116" s="1">
        <f t="shared" si="13"/>
        <v>10000</v>
      </c>
      <c r="M116" t="s">
        <v>401</v>
      </c>
      <c r="N116">
        <v>1</v>
      </c>
      <c r="O116" t="str">
        <f t="shared" si="14"/>
        <v>722</v>
      </c>
      <c r="P116" t="s">
        <v>39</v>
      </c>
      <c r="Q116" t="s">
        <v>37</v>
      </c>
      <c r="R116" t="s">
        <v>31</v>
      </c>
      <c r="S116" t="s">
        <v>28</v>
      </c>
      <c r="T116" t="str">
        <f>"98752953"</f>
        <v>98752953</v>
      </c>
      <c r="U116" t="s">
        <v>402</v>
      </c>
      <c r="V116" t="s">
        <v>403</v>
      </c>
    </row>
    <row r="117" spans="1:22" x14ac:dyDescent="0.25">
      <c r="A117" t="str">
        <f t="shared" si="7"/>
        <v>10807</v>
      </c>
      <c r="B117" t="s">
        <v>22</v>
      </c>
      <c r="C117" t="s">
        <v>23</v>
      </c>
      <c r="D117" s="1" t="s">
        <v>404</v>
      </c>
      <c r="E117" t="s">
        <v>25</v>
      </c>
      <c r="F117" t="s">
        <v>26</v>
      </c>
      <c r="G117" t="str">
        <f t="shared" si="8"/>
        <v>37</v>
      </c>
      <c r="H117" t="str">
        <f t="shared" si="12"/>
        <v>11</v>
      </c>
      <c r="I117" t="s">
        <v>37</v>
      </c>
      <c r="J117">
        <v>194.55500000000001</v>
      </c>
      <c r="K117">
        <v>194.55500000000001</v>
      </c>
      <c r="L117" s="1">
        <f t="shared" si="13"/>
        <v>194555</v>
      </c>
      <c r="M117" t="s">
        <v>405</v>
      </c>
      <c r="N117">
        <v>1</v>
      </c>
      <c r="O117" t="str">
        <f t="shared" si="14"/>
        <v>722</v>
      </c>
      <c r="P117" t="s">
        <v>39</v>
      </c>
      <c r="Q117" t="s">
        <v>37</v>
      </c>
      <c r="R117" t="s">
        <v>31</v>
      </c>
      <c r="S117" t="s">
        <v>28</v>
      </c>
      <c r="T117" t="str">
        <f>"09711641"</f>
        <v>09711641</v>
      </c>
      <c r="U117" t="s">
        <v>406</v>
      </c>
      <c r="V117" t="s">
        <v>407</v>
      </c>
    </row>
    <row r="118" spans="1:22" x14ac:dyDescent="0.25">
      <c r="A118" t="str">
        <f t="shared" si="7"/>
        <v>10807</v>
      </c>
      <c r="B118" t="s">
        <v>22</v>
      </c>
      <c r="C118" t="s">
        <v>23</v>
      </c>
      <c r="D118" s="1" t="s">
        <v>408</v>
      </c>
      <c r="E118" t="s">
        <v>25</v>
      </c>
      <c r="F118" t="s">
        <v>26</v>
      </c>
      <c r="G118" t="str">
        <f t="shared" si="8"/>
        <v>37</v>
      </c>
      <c r="H118" t="str">
        <f t="shared" si="12"/>
        <v>11</v>
      </c>
      <c r="I118" t="s">
        <v>37</v>
      </c>
      <c r="J118">
        <v>50</v>
      </c>
      <c r="K118">
        <v>50</v>
      </c>
      <c r="L118" s="1">
        <f t="shared" si="13"/>
        <v>50000</v>
      </c>
      <c r="M118" t="s">
        <v>401</v>
      </c>
      <c r="N118">
        <v>1</v>
      </c>
      <c r="O118" t="str">
        <f t="shared" si="14"/>
        <v>722</v>
      </c>
      <c r="P118" t="s">
        <v>39</v>
      </c>
      <c r="Q118" t="s">
        <v>37</v>
      </c>
      <c r="R118" t="s">
        <v>31</v>
      </c>
      <c r="S118" t="s">
        <v>28</v>
      </c>
      <c r="T118" t="str">
        <f>"30100287"</f>
        <v>30100287</v>
      </c>
      <c r="U118" t="s">
        <v>409</v>
      </c>
      <c r="V118" t="s">
        <v>410</v>
      </c>
    </row>
    <row r="119" spans="1:22" x14ac:dyDescent="0.25">
      <c r="A119" t="str">
        <f t="shared" si="7"/>
        <v>10807</v>
      </c>
      <c r="B119" t="s">
        <v>22</v>
      </c>
      <c r="C119" t="s">
        <v>23</v>
      </c>
      <c r="D119" s="1" t="s">
        <v>408</v>
      </c>
      <c r="E119" t="s">
        <v>25</v>
      </c>
      <c r="F119" t="s">
        <v>26</v>
      </c>
      <c r="G119" t="str">
        <f t="shared" si="8"/>
        <v>37</v>
      </c>
      <c r="H119" t="str">
        <f t="shared" si="12"/>
        <v>11</v>
      </c>
      <c r="I119" t="s">
        <v>37</v>
      </c>
      <c r="J119">
        <v>20</v>
      </c>
      <c r="K119">
        <v>20</v>
      </c>
      <c r="L119" s="1">
        <f t="shared" si="13"/>
        <v>20000</v>
      </c>
      <c r="M119" t="s">
        <v>411</v>
      </c>
      <c r="N119">
        <v>1</v>
      </c>
      <c r="O119" t="str">
        <f t="shared" si="14"/>
        <v>722</v>
      </c>
      <c r="P119" t="s">
        <v>39</v>
      </c>
      <c r="Q119" t="s">
        <v>37</v>
      </c>
      <c r="R119" t="s">
        <v>31</v>
      </c>
      <c r="S119" t="s">
        <v>28</v>
      </c>
      <c r="T119" t="str">
        <f>"25776824"</f>
        <v>25776824</v>
      </c>
      <c r="U119" t="s">
        <v>412</v>
      </c>
      <c r="V119" t="s">
        <v>413</v>
      </c>
    </row>
    <row r="120" spans="1:22" x14ac:dyDescent="0.25">
      <c r="A120" t="str">
        <f t="shared" si="7"/>
        <v>10807</v>
      </c>
      <c r="B120" t="s">
        <v>22</v>
      </c>
      <c r="C120" t="s">
        <v>23</v>
      </c>
      <c r="D120" s="1" t="s">
        <v>408</v>
      </c>
      <c r="E120" t="s">
        <v>25</v>
      </c>
      <c r="F120" t="s">
        <v>26</v>
      </c>
      <c r="G120" t="str">
        <f t="shared" si="8"/>
        <v>37</v>
      </c>
      <c r="H120" t="str">
        <f t="shared" si="12"/>
        <v>11</v>
      </c>
      <c r="I120" t="s">
        <v>27</v>
      </c>
      <c r="J120">
        <v>50</v>
      </c>
      <c r="K120">
        <v>50</v>
      </c>
      <c r="L120" s="1">
        <f t="shared" si="13"/>
        <v>50000</v>
      </c>
      <c r="M120" t="s">
        <v>414</v>
      </c>
      <c r="N120">
        <v>1</v>
      </c>
      <c r="O120" t="str">
        <f t="shared" si="14"/>
        <v>722</v>
      </c>
      <c r="P120" t="s">
        <v>30</v>
      </c>
      <c r="Q120" t="s">
        <v>27</v>
      </c>
      <c r="R120" t="s">
        <v>31</v>
      </c>
      <c r="S120" t="s">
        <v>28</v>
      </c>
      <c r="T120" t="str">
        <f>"17121823"</f>
        <v>17121823</v>
      </c>
      <c r="U120" t="s">
        <v>415</v>
      </c>
      <c r="V120" t="s">
        <v>416</v>
      </c>
    </row>
    <row r="121" spans="1:22" x14ac:dyDescent="0.25">
      <c r="A121" t="str">
        <f t="shared" si="7"/>
        <v>10807</v>
      </c>
      <c r="B121" t="s">
        <v>22</v>
      </c>
      <c r="C121" t="s">
        <v>23</v>
      </c>
      <c r="D121" s="1" t="s">
        <v>408</v>
      </c>
      <c r="E121" t="s">
        <v>25</v>
      </c>
      <c r="F121" t="s">
        <v>26</v>
      </c>
      <c r="G121" t="str">
        <f t="shared" si="8"/>
        <v>37</v>
      </c>
      <c r="H121" t="str">
        <f t="shared" si="12"/>
        <v>11</v>
      </c>
      <c r="I121" t="s">
        <v>37</v>
      </c>
      <c r="J121">
        <v>20</v>
      </c>
      <c r="K121">
        <v>20</v>
      </c>
      <c r="L121" s="1">
        <f t="shared" si="13"/>
        <v>20000</v>
      </c>
      <c r="M121" t="s">
        <v>417</v>
      </c>
      <c r="N121">
        <v>1</v>
      </c>
      <c r="O121" t="str">
        <f t="shared" si="14"/>
        <v>722</v>
      </c>
      <c r="P121" t="s">
        <v>39</v>
      </c>
      <c r="Q121" t="s">
        <v>37</v>
      </c>
      <c r="R121" t="s">
        <v>31</v>
      </c>
      <c r="S121" t="s">
        <v>28</v>
      </c>
      <c r="T121" t="str">
        <f>"40840682"</f>
        <v>40840682</v>
      </c>
      <c r="U121" t="s">
        <v>418</v>
      </c>
      <c r="V121" t="s">
        <v>419</v>
      </c>
    </row>
    <row r="122" spans="1:22" x14ac:dyDescent="0.25">
      <c r="A122" t="str">
        <f t="shared" si="7"/>
        <v>10807</v>
      </c>
      <c r="B122" t="s">
        <v>22</v>
      </c>
      <c r="C122" t="s">
        <v>23</v>
      </c>
      <c r="D122" s="1" t="s">
        <v>420</v>
      </c>
      <c r="E122" t="s">
        <v>25</v>
      </c>
      <c r="F122" t="s">
        <v>26</v>
      </c>
      <c r="G122" t="str">
        <f t="shared" si="8"/>
        <v>37</v>
      </c>
      <c r="H122" t="str">
        <f t="shared" si="12"/>
        <v>11</v>
      </c>
      <c r="I122" t="s">
        <v>27</v>
      </c>
      <c r="J122">
        <v>50</v>
      </c>
      <c r="K122">
        <v>50</v>
      </c>
      <c r="L122" s="1">
        <f t="shared" si="13"/>
        <v>50000</v>
      </c>
      <c r="M122" t="s">
        <v>421</v>
      </c>
      <c r="N122">
        <v>1</v>
      </c>
      <c r="O122" t="str">
        <f t="shared" si="14"/>
        <v>722</v>
      </c>
      <c r="P122" t="s">
        <v>30</v>
      </c>
      <c r="Q122" t="s">
        <v>27</v>
      </c>
      <c r="R122" t="s">
        <v>31</v>
      </c>
      <c r="S122" t="s">
        <v>28</v>
      </c>
      <c r="T122" t="str">
        <f>"37933567"</f>
        <v>37933567</v>
      </c>
      <c r="U122" t="s">
        <v>422</v>
      </c>
      <c r="V122" t="s">
        <v>423</v>
      </c>
    </row>
    <row r="123" spans="1:22" x14ac:dyDescent="0.25">
      <c r="A123" t="str">
        <f t="shared" si="7"/>
        <v>10807</v>
      </c>
      <c r="B123" t="s">
        <v>22</v>
      </c>
      <c r="C123" t="s">
        <v>23</v>
      </c>
      <c r="D123" s="1" t="s">
        <v>420</v>
      </c>
      <c r="E123" t="s">
        <v>25</v>
      </c>
      <c r="F123" t="s">
        <v>26</v>
      </c>
      <c r="G123" t="str">
        <f t="shared" si="8"/>
        <v>37</v>
      </c>
      <c r="H123" t="str">
        <f t="shared" si="12"/>
        <v>11</v>
      </c>
      <c r="I123" t="s">
        <v>27</v>
      </c>
      <c r="J123">
        <v>30</v>
      </c>
      <c r="K123">
        <v>30</v>
      </c>
      <c r="L123" s="1">
        <f t="shared" si="13"/>
        <v>30000</v>
      </c>
      <c r="M123" t="s">
        <v>424</v>
      </c>
      <c r="N123">
        <v>1</v>
      </c>
      <c r="O123" t="str">
        <f t="shared" si="14"/>
        <v>722</v>
      </c>
      <c r="P123" t="s">
        <v>30</v>
      </c>
      <c r="Q123" t="s">
        <v>27</v>
      </c>
      <c r="R123" t="s">
        <v>31</v>
      </c>
      <c r="S123" t="s">
        <v>28</v>
      </c>
      <c r="T123" t="str">
        <f>"97969743"</f>
        <v>97969743</v>
      </c>
      <c r="U123" t="s">
        <v>425</v>
      </c>
      <c r="V123" t="s">
        <v>426</v>
      </c>
    </row>
    <row r="124" spans="1:22" x14ac:dyDescent="0.25">
      <c r="A124" t="str">
        <f t="shared" si="7"/>
        <v>10807</v>
      </c>
      <c r="B124" t="s">
        <v>22</v>
      </c>
      <c r="C124" t="s">
        <v>23</v>
      </c>
      <c r="D124" s="1" t="s">
        <v>420</v>
      </c>
      <c r="E124" t="s">
        <v>25</v>
      </c>
      <c r="F124" t="s">
        <v>26</v>
      </c>
      <c r="G124" t="str">
        <f t="shared" si="8"/>
        <v>37</v>
      </c>
      <c r="H124" t="str">
        <f t="shared" si="12"/>
        <v>11</v>
      </c>
      <c r="I124" t="s">
        <v>27</v>
      </c>
      <c r="J124">
        <v>20</v>
      </c>
      <c r="K124">
        <v>20</v>
      </c>
      <c r="L124" s="1">
        <f t="shared" si="13"/>
        <v>20000</v>
      </c>
      <c r="M124" t="s">
        <v>427</v>
      </c>
      <c r="N124">
        <v>1</v>
      </c>
      <c r="O124" t="str">
        <f t="shared" si="14"/>
        <v>722</v>
      </c>
      <c r="P124" t="s">
        <v>30</v>
      </c>
      <c r="Q124" t="s">
        <v>27</v>
      </c>
      <c r="R124" t="s">
        <v>31</v>
      </c>
      <c r="S124" t="s">
        <v>28</v>
      </c>
      <c r="T124" t="str">
        <f>"99745468"</f>
        <v>99745468</v>
      </c>
      <c r="U124" t="s">
        <v>428</v>
      </c>
      <c r="V124" t="s">
        <v>429</v>
      </c>
    </row>
    <row r="125" spans="1:22" x14ac:dyDescent="0.25">
      <c r="A125" t="str">
        <f t="shared" si="7"/>
        <v>10807</v>
      </c>
      <c r="B125" t="s">
        <v>22</v>
      </c>
      <c r="C125" t="s">
        <v>23</v>
      </c>
      <c r="D125" s="1" t="s">
        <v>420</v>
      </c>
      <c r="E125" t="s">
        <v>25</v>
      </c>
      <c r="F125" t="s">
        <v>26</v>
      </c>
      <c r="G125" t="str">
        <f t="shared" si="8"/>
        <v>37</v>
      </c>
      <c r="H125" t="str">
        <f t="shared" si="12"/>
        <v>11</v>
      </c>
      <c r="I125" t="s">
        <v>37</v>
      </c>
      <c r="J125">
        <v>30</v>
      </c>
      <c r="K125">
        <v>30</v>
      </c>
      <c r="L125" s="1">
        <f t="shared" si="13"/>
        <v>30000</v>
      </c>
      <c r="M125" t="s">
        <v>430</v>
      </c>
      <c r="N125">
        <v>1</v>
      </c>
      <c r="O125" t="str">
        <f t="shared" si="14"/>
        <v>722</v>
      </c>
      <c r="P125" t="s">
        <v>39</v>
      </c>
      <c r="Q125" t="s">
        <v>37</v>
      </c>
      <c r="R125" t="s">
        <v>31</v>
      </c>
      <c r="S125" t="s">
        <v>28</v>
      </c>
      <c r="T125" t="str">
        <f>"40930522"</f>
        <v>40930522</v>
      </c>
      <c r="U125" t="s">
        <v>431</v>
      </c>
      <c r="V125" t="s">
        <v>432</v>
      </c>
    </row>
    <row r="126" spans="1:22" x14ac:dyDescent="0.25">
      <c r="A126" t="str">
        <f t="shared" si="7"/>
        <v>10807</v>
      </c>
      <c r="B126" t="s">
        <v>22</v>
      </c>
      <c r="C126" t="s">
        <v>23</v>
      </c>
      <c r="D126" s="1" t="s">
        <v>433</v>
      </c>
      <c r="E126" t="s">
        <v>25</v>
      </c>
      <c r="F126" t="s">
        <v>26</v>
      </c>
      <c r="G126" t="str">
        <f t="shared" si="8"/>
        <v>37</v>
      </c>
      <c r="H126" t="str">
        <f>"10"</f>
        <v>10</v>
      </c>
      <c r="I126" t="s">
        <v>27</v>
      </c>
      <c r="J126">
        <v>91.278999999999996</v>
      </c>
      <c r="K126">
        <v>91.278999999999996</v>
      </c>
      <c r="L126" s="1">
        <f t="shared" si="13"/>
        <v>91279</v>
      </c>
      <c r="M126" t="s">
        <v>434</v>
      </c>
      <c r="N126">
        <v>1</v>
      </c>
      <c r="O126" t="str">
        <f>"723"</f>
        <v>723</v>
      </c>
      <c r="P126" t="s">
        <v>30</v>
      </c>
      <c r="Q126" t="s">
        <v>27</v>
      </c>
      <c r="R126" t="s">
        <v>31</v>
      </c>
      <c r="S126" t="s">
        <v>28</v>
      </c>
      <c r="T126" t="str">
        <f>"74721159"</f>
        <v>74721159</v>
      </c>
      <c r="U126" t="s">
        <v>435</v>
      </c>
      <c r="V126" t="s">
        <v>436</v>
      </c>
    </row>
    <row r="127" spans="1:22" x14ac:dyDescent="0.25">
      <c r="A127" t="str">
        <f t="shared" si="7"/>
        <v>10807</v>
      </c>
      <c r="B127" t="s">
        <v>22</v>
      </c>
      <c r="C127" t="s">
        <v>23</v>
      </c>
      <c r="D127" s="1" t="s">
        <v>437</v>
      </c>
      <c r="E127" t="s">
        <v>25</v>
      </c>
      <c r="F127" t="s">
        <v>26</v>
      </c>
      <c r="G127" t="str">
        <f t="shared" si="8"/>
        <v>37</v>
      </c>
      <c r="H127" t="str">
        <f t="shared" ref="H127:H145" si="15">"11"</f>
        <v>11</v>
      </c>
      <c r="I127" t="s">
        <v>27</v>
      </c>
      <c r="J127">
        <v>70.293999999999997</v>
      </c>
      <c r="K127">
        <v>70.293999999999997</v>
      </c>
      <c r="L127" s="1">
        <f t="shared" si="13"/>
        <v>70294</v>
      </c>
      <c r="M127" t="s">
        <v>438</v>
      </c>
      <c r="N127">
        <v>1</v>
      </c>
      <c r="O127" t="str">
        <f t="shared" ref="O127:O156" si="16">"722"</f>
        <v>722</v>
      </c>
      <c r="P127" t="s">
        <v>30</v>
      </c>
      <c r="Q127" t="s">
        <v>27</v>
      </c>
      <c r="R127" t="s">
        <v>31</v>
      </c>
      <c r="S127" t="s">
        <v>28</v>
      </c>
      <c r="T127" t="str">
        <f>"20413893"</f>
        <v>20413893</v>
      </c>
      <c r="U127" t="s">
        <v>439</v>
      </c>
      <c r="V127" t="s">
        <v>440</v>
      </c>
    </row>
    <row r="128" spans="1:22" x14ac:dyDescent="0.25">
      <c r="A128" t="str">
        <f t="shared" si="7"/>
        <v>10807</v>
      </c>
      <c r="B128" t="s">
        <v>22</v>
      </c>
      <c r="C128" t="s">
        <v>23</v>
      </c>
      <c r="D128" s="1" t="s">
        <v>437</v>
      </c>
      <c r="E128" t="s">
        <v>25</v>
      </c>
      <c r="F128" t="s">
        <v>26</v>
      </c>
      <c r="G128" t="str">
        <f t="shared" si="8"/>
        <v>37</v>
      </c>
      <c r="H128" t="str">
        <f t="shared" si="15"/>
        <v>11</v>
      </c>
      <c r="I128" t="s">
        <v>27</v>
      </c>
      <c r="J128">
        <v>20</v>
      </c>
      <c r="K128">
        <v>20</v>
      </c>
      <c r="L128" s="1">
        <f t="shared" ref="L128:L145" si="17">K128*1000</f>
        <v>20000</v>
      </c>
      <c r="M128" t="s">
        <v>441</v>
      </c>
      <c r="N128">
        <v>1</v>
      </c>
      <c r="O128" t="str">
        <f t="shared" si="16"/>
        <v>722</v>
      </c>
      <c r="P128" t="s">
        <v>30</v>
      </c>
      <c r="Q128" t="s">
        <v>27</v>
      </c>
      <c r="R128" t="s">
        <v>31</v>
      </c>
      <c r="S128" t="s">
        <v>28</v>
      </c>
      <c r="T128" t="str">
        <f>"72485833"</f>
        <v>72485833</v>
      </c>
      <c r="U128" t="s">
        <v>442</v>
      </c>
      <c r="V128" t="s">
        <v>443</v>
      </c>
    </row>
    <row r="129" spans="1:22" x14ac:dyDescent="0.25">
      <c r="A129" t="str">
        <f t="shared" ref="A129:A190" si="18">"10807"</f>
        <v>10807</v>
      </c>
      <c r="B129" t="s">
        <v>22</v>
      </c>
      <c r="C129" t="s">
        <v>23</v>
      </c>
      <c r="D129" s="1" t="s">
        <v>437</v>
      </c>
      <c r="E129" t="s">
        <v>25</v>
      </c>
      <c r="F129" t="s">
        <v>26</v>
      </c>
      <c r="G129" t="str">
        <f t="shared" ref="G129:G190" si="19">"37"</f>
        <v>37</v>
      </c>
      <c r="H129" t="str">
        <f t="shared" si="15"/>
        <v>11</v>
      </c>
      <c r="I129" t="s">
        <v>27</v>
      </c>
      <c r="J129">
        <v>100</v>
      </c>
      <c r="K129">
        <v>100</v>
      </c>
      <c r="L129" s="1">
        <f t="shared" si="17"/>
        <v>100000</v>
      </c>
      <c r="M129" t="s">
        <v>98</v>
      </c>
      <c r="N129">
        <v>1</v>
      </c>
      <c r="O129" t="str">
        <f t="shared" si="16"/>
        <v>722</v>
      </c>
      <c r="P129" t="s">
        <v>30</v>
      </c>
      <c r="Q129" t="s">
        <v>27</v>
      </c>
      <c r="R129" t="s">
        <v>31</v>
      </c>
      <c r="S129" t="s">
        <v>28</v>
      </c>
      <c r="T129" t="str">
        <f>"40838320"</f>
        <v>40838320</v>
      </c>
      <c r="U129" t="s">
        <v>444</v>
      </c>
      <c r="V129" t="s">
        <v>445</v>
      </c>
    </row>
    <row r="130" spans="1:22" x14ac:dyDescent="0.25">
      <c r="A130" t="str">
        <f t="shared" si="18"/>
        <v>10807</v>
      </c>
      <c r="B130" t="s">
        <v>22</v>
      </c>
      <c r="C130" t="s">
        <v>23</v>
      </c>
      <c r="D130" s="1" t="s">
        <v>446</v>
      </c>
      <c r="E130" t="s">
        <v>25</v>
      </c>
      <c r="F130" t="s">
        <v>26</v>
      </c>
      <c r="G130" t="str">
        <f t="shared" si="19"/>
        <v>37</v>
      </c>
      <c r="H130" t="str">
        <f t="shared" si="15"/>
        <v>11</v>
      </c>
      <c r="I130" t="s">
        <v>37</v>
      </c>
      <c r="J130">
        <v>50</v>
      </c>
      <c r="K130">
        <v>50</v>
      </c>
      <c r="L130" s="1">
        <f t="shared" si="17"/>
        <v>50000</v>
      </c>
      <c r="M130" t="s">
        <v>447</v>
      </c>
      <c r="N130">
        <v>1</v>
      </c>
      <c r="O130" t="str">
        <f t="shared" si="16"/>
        <v>722</v>
      </c>
      <c r="P130" t="s">
        <v>39</v>
      </c>
      <c r="Q130" t="s">
        <v>37</v>
      </c>
      <c r="R130" t="s">
        <v>31</v>
      </c>
      <c r="S130" t="s">
        <v>28</v>
      </c>
      <c r="T130" t="str">
        <f>"25848670"</f>
        <v>25848670</v>
      </c>
      <c r="U130" t="s">
        <v>448</v>
      </c>
      <c r="V130" t="s">
        <v>449</v>
      </c>
    </row>
    <row r="131" spans="1:22" x14ac:dyDescent="0.25">
      <c r="A131" t="str">
        <f t="shared" si="18"/>
        <v>10807</v>
      </c>
      <c r="B131" t="s">
        <v>22</v>
      </c>
      <c r="C131" t="s">
        <v>23</v>
      </c>
      <c r="D131" s="1" t="s">
        <v>446</v>
      </c>
      <c r="E131" t="s">
        <v>25</v>
      </c>
      <c r="F131" t="s">
        <v>26</v>
      </c>
      <c r="G131" t="str">
        <f t="shared" si="19"/>
        <v>37</v>
      </c>
      <c r="H131" t="str">
        <f t="shared" si="15"/>
        <v>11</v>
      </c>
      <c r="I131" t="s">
        <v>37</v>
      </c>
      <c r="J131">
        <v>80</v>
      </c>
      <c r="K131">
        <v>80</v>
      </c>
      <c r="L131" s="1">
        <f t="shared" si="17"/>
        <v>80000</v>
      </c>
      <c r="M131" t="s">
        <v>450</v>
      </c>
      <c r="N131">
        <v>1</v>
      </c>
      <c r="O131" t="str">
        <f t="shared" si="16"/>
        <v>722</v>
      </c>
      <c r="P131" t="s">
        <v>39</v>
      </c>
      <c r="Q131" t="s">
        <v>37</v>
      </c>
      <c r="R131" t="s">
        <v>31</v>
      </c>
      <c r="S131" t="s">
        <v>28</v>
      </c>
      <c r="T131" t="str">
        <f>"09027753"</f>
        <v>09027753</v>
      </c>
      <c r="U131" t="s">
        <v>451</v>
      </c>
      <c r="V131" t="s">
        <v>452</v>
      </c>
    </row>
    <row r="132" spans="1:22" x14ac:dyDescent="0.25">
      <c r="A132" t="str">
        <f t="shared" si="18"/>
        <v>10807</v>
      </c>
      <c r="B132" t="s">
        <v>22</v>
      </c>
      <c r="C132" t="s">
        <v>23</v>
      </c>
      <c r="D132" s="1" t="s">
        <v>446</v>
      </c>
      <c r="E132" t="s">
        <v>25</v>
      </c>
      <c r="F132" t="s">
        <v>26</v>
      </c>
      <c r="G132" t="str">
        <f t="shared" si="19"/>
        <v>37</v>
      </c>
      <c r="H132" t="str">
        <f t="shared" si="15"/>
        <v>11</v>
      </c>
      <c r="I132" t="s">
        <v>37</v>
      </c>
      <c r="J132">
        <v>20</v>
      </c>
      <c r="K132">
        <v>20</v>
      </c>
      <c r="L132" s="1">
        <f t="shared" si="17"/>
        <v>20000</v>
      </c>
      <c r="M132" t="s">
        <v>453</v>
      </c>
      <c r="N132">
        <v>1</v>
      </c>
      <c r="O132" t="str">
        <f t="shared" si="16"/>
        <v>722</v>
      </c>
      <c r="P132" t="s">
        <v>39</v>
      </c>
      <c r="Q132" t="s">
        <v>37</v>
      </c>
      <c r="R132" t="s">
        <v>31</v>
      </c>
      <c r="S132" t="s">
        <v>28</v>
      </c>
      <c r="T132" t="str">
        <f>"47874546"</f>
        <v>47874546</v>
      </c>
      <c r="U132" t="s">
        <v>454</v>
      </c>
      <c r="V132" t="s">
        <v>455</v>
      </c>
    </row>
    <row r="133" spans="1:22" x14ac:dyDescent="0.25">
      <c r="A133" t="str">
        <f t="shared" si="18"/>
        <v>10807</v>
      </c>
      <c r="B133" t="s">
        <v>22</v>
      </c>
      <c r="C133" t="s">
        <v>23</v>
      </c>
      <c r="D133" s="1" t="s">
        <v>446</v>
      </c>
      <c r="E133" t="s">
        <v>25</v>
      </c>
      <c r="F133" t="s">
        <v>26</v>
      </c>
      <c r="G133" t="str">
        <f t="shared" si="19"/>
        <v>37</v>
      </c>
      <c r="H133" t="str">
        <f t="shared" si="15"/>
        <v>11</v>
      </c>
      <c r="I133" t="s">
        <v>37</v>
      </c>
      <c r="J133">
        <v>20</v>
      </c>
      <c r="K133">
        <v>20</v>
      </c>
      <c r="L133" s="1">
        <f t="shared" si="17"/>
        <v>20000</v>
      </c>
      <c r="M133" t="s">
        <v>453</v>
      </c>
      <c r="N133">
        <v>1</v>
      </c>
      <c r="O133" t="str">
        <f t="shared" si="16"/>
        <v>722</v>
      </c>
      <c r="P133" t="s">
        <v>39</v>
      </c>
      <c r="Q133" t="s">
        <v>37</v>
      </c>
      <c r="R133" t="s">
        <v>31</v>
      </c>
      <c r="S133" t="s">
        <v>28</v>
      </c>
      <c r="T133" t="str">
        <f>"47930884"</f>
        <v>47930884</v>
      </c>
      <c r="U133" t="s">
        <v>456</v>
      </c>
      <c r="V133" t="s">
        <v>457</v>
      </c>
    </row>
    <row r="134" spans="1:22" x14ac:dyDescent="0.25">
      <c r="A134" t="str">
        <f t="shared" si="18"/>
        <v>10807</v>
      </c>
      <c r="B134" t="s">
        <v>22</v>
      </c>
      <c r="C134" t="s">
        <v>23</v>
      </c>
      <c r="D134" s="1" t="s">
        <v>458</v>
      </c>
      <c r="E134" t="s">
        <v>25</v>
      </c>
      <c r="F134" t="s">
        <v>26</v>
      </c>
      <c r="G134" t="str">
        <f t="shared" si="19"/>
        <v>37</v>
      </c>
      <c r="H134" t="str">
        <f t="shared" si="15"/>
        <v>11</v>
      </c>
      <c r="I134" t="s">
        <v>27</v>
      </c>
      <c r="J134">
        <v>20</v>
      </c>
      <c r="K134">
        <v>20</v>
      </c>
      <c r="L134" s="1">
        <f t="shared" si="17"/>
        <v>20000</v>
      </c>
      <c r="M134" t="s">
        <v>459</v>
      </c>
      <c r="N134">
        <v>1</v>
      </c>
      <c r="O134" t="str">
        <f t="shared" si="16"/>
        <v>722</v>
      </c>
      <c r="P134" t="s">
        <v>30</v>
      </c>
      <c r="Q134" t="s">
        <v>27</v>
      </c>
      <c r="R134" t="s">
        <v>31</v>
      </c>
      <c r="S134" t="s">
        <v>28</v>
      </c>
      <c r="T134" t="str">
        <f>"20257181"</f>
        <v>20257181</v>
      </c>
      <c r="U134" t="s">
        <v>460</v>
      </c>
      <c r="V134" t="s">
        <v>461</v>
      </c>
    </row>
    <row r="135" spans="1:22" x14ac:dyDescent="0.25">
      <c r="A135" t="str">
        <f t="shared" si="18"/>
        <v>10807</v>
      </c>
      <c r="B135" t="s">
        <v>22</v>
      </c>
      <c r="C135" t="s">
        <v>23</v>
      </c>
      <c r="D135" s="1" t="s">
        <v>458</v>
      </c>
      <c r="E135" t="s">
        <v>25</v>
      </c>
      <c r="F135" t="s">
        <v>26</v>
      </c>
      <c r="G135" t="str">
        <f t="shared" si="19"/>
        <v>37</v>
      </c>
      <c r="H135" t="str">
        <f t="shared" si="15"/>
        <v>11</v>
      </c>
      <c r="I135" t="s">
        <v>37</v>
      </c>
      <c r="J135">
        <v>20</v>
      </c>
      <c r="K135">
        <v>20</v>
      </c>
      <c r="L135" s="1">
        <f t="shared" si="17"/>
        <v>20000</v>
      </c>
      <c r="M135" t="s">
        <v>462</v>
      </c>
      <c r="N135">
        <v>1</v>
      </c>
      <c r="O135" t="str">
        <f t="shared" si="16"/>
        <v>722</v>
      </c>
      <c r="P135" t="s">
        <v>39</v>
      </c>
      <c r="Q135" t="s">
        <v>37</v>
      </c>
      <c r="R135" t="s">
        <v>31</v>
      </c>
      <c r="S135" t="s">
        <v>28</v>
      </c>
      <c r="T135" t="str">
        <f>"25734705"</f>
        <v>25734705</v>
      </c>
      <c r="U135" t="s">
        <v>463</v>
      </c>
      <c r="V135" t="s">
        <v>464</v>
      </c>
    </row>
    <row r="136" spans="1:22" x14ac:dyDescent="0.25">
      <c r="A136" t="str">
        <f t="shared" si="18"/>
        <v>10807</v>
      </c>
      <c r="B136" t="s">
        <v>22</v>
      </c>
      <c r="C136" t="s">
        <v>23</v>
      </c>
      <c r="D136" s="1" t="s">
        <v>458</v>
      </c>
      <c r="E136" t="s">
        <v>25</v>
      </c>
      <c r="F136" t="s">
        <v>26</v>
      </c>
      <c r="G136" t="str">
        <f t="shared" si="19"/>
        <v>37</v>
      </c>
      <c r="H136" t="str">
        <f t="shared" si="15"/>
        <v>11</v>
      </c>
      <c r="I136" t="s">
        <v>37</v>
      </c>
      <c r="J136">
        <v>20</v>
      </c>
      <c r="K136">
        <v>20</v>
      </c>
      <c r="L136" s="1">
        <f t="shared" si="17"/>
        <v>20000</v>
      </c>
      <c r="M136" t="s">
        <v>465</v>
      </c>
      <c r="N136">
        <v>1</v>
      </c>
      <c r="O136" t="str">
        <f t="shared" si="16"/>
        <v>722</v>
      </c>
      <c r="P136" t="s">
        <v>39</v>
      </c>
      <c r="Q136" t="s">
        <v>37</v>
      </c>
      <c r="R136" t="s">
        <v>31</v>
      </c>
      <c r="S136" t="s">
        <v>28</v>
      </c>
      <c r="T136" t="str">
        <f>"39694583"</f>
        <v>39694583</v>
      </c>
      <c r="U136" t="s">
        <v>466</v>
      </c>
      <c r="V136" t="s">
        <v>467</v>
      </c>
    </row>
    <row r="137" spans="1:22" x14ac:dyDescent="0.25">
      <c r="A137" t="str">
        <f t="shared" si="18"/>
        <v>10807</v>
      </c>
      <c r="B137" t="s">
        <v>22</v>
      </c>
      <c r="C137" t="s">
        <v>23</v>
      </c>
      <c r="D137" s="1" t="s">
        <v>458</v>
      </c>
      <c r="E137" t="s">
        <v>25</v>
      </c>
      <c r="F137" t="s">
        <v>26</v>
      </c>
      <c r="G137" t="str">
        <f t="shared" si="19"/>
        <v>37</v>
      </c>
      <c r="H137" t="str">
        <f t="shared" si="15"/>
        <v>11</v>
      </c>
      <c r="I137" t="s">
        <v>27</v>
      </c>
      <c r="J137">
        <v>50</v>
      </c>
      <c r="K137">
        <v>50</v>
      </c>
      <c r="L137" s="1">
        <f t="shared" si="17"/>
        <v>50000</v>
      </c>
      <c r="M137" t="s">
        <v>468</v>
      </c>
      <c r="N137">
        <v>1</v>
      </c>
      <c r="O137" t="str">
        <f t="shared" si="16"/>
        <v>722</v>
      </c>
      <c r="P137" t="s">
        <v>30</v>
      </c>
      <c r="Q137" t="s">
        <v>27</v>
      </c>
      <c r="R137" t="s">
        <v>31</v>
      </c>
      <c r="S137" t="s">
        <v>28</v>
      </c>
      <c r="T137" t="str">
        <f>"82021480"</f>
        <v>82021480</v>
      </c>
      <c r="U137" t="s">
        <v>469</v>
      </c>
      <c r="V137" t="s">
        <v>470</v>
      </c>
    </row>
    <row r="138" spans="1:22" x14ac:dyDescent="0.25">
      <c r="A138" t="str">
        <f t="shared" si="18"/>
        <v>10807</v>
      </c>
      <c r="B138" t="s">
        <v>22</v>
      </c>
      <c r="C138" t="s">
        <v>23</v>
      </c>
      <c r="D138" s="1" t="s">
        <v>471</v>
      </c>
      <c r="E138" t="s">
        <v>25</v>
      </c>
      <c r="F138" t="s">
        <v>26</v>
      </c>
      <c r="G138" t="str">
        <f t="shared" si="19"/>
        <v>37</v>
      </c>
      <c r="H138" t="str">
        <f t="shared" si="15"/>
        <v>11</v>
      </c>
      <c r="I138" t="s">
        <v>27</v>
      </c>
      <c r="J138">
        <v>20</v>
      </c>
      <c r="K138">
        <v>20</v>
      </c>
      <c r="L138" s="1">
        <f t="shared" si="17"/>
        <v>20000</v>
      </c>
      <c r="M138" t="s">
        <v>472</v>
      </c>
      <c r="N138">
        <v>1</v>
      </c>
      <c r="O138" t="str">
        <f t="shared" si="16"/>
        <v>722</v>
      </c>
      <c r="P138" t="s">
        <v>30</v>
      </c>
      <c r="Q138" t="s">
        <v>27</v>
      </c>
      <c r="R138" t="s">
        <v>31</v>
      </c>
      <c r="S138" t="s">
        <v>28</v>
      </c>
      <c r="T138" t="str">
        <f>"13988319"</f>
        <v>13988319</v>
      </c>
      <c r="U138" t="s">
        <v>473</v>
      </c>
      <c r="V138" t="s">
        <v>474</v>
      </c>
    </row>
    <row r="139" spans="1:22" x14ac:dyDescent="0.25">
      <c r="A139" t="str">
        <f t="shared" si="18"/>
        <v>10807</v>
      </c>
      <c r="B139" t="s">
        <v>22</v>
      </c>
      <c r="C139" t="s">
        <v>23</v>
      </c>
      <c r="D139" s="1" t="s">
        <v>471</v>
      </c>
      <c r="E139" t="s">
        <v>25</v>
      </c>
      <c r="F139" t="s">
        <v>26</v>
      </c>
      <c r="G139" t="str">
        <f t="shared" si="19"/>
        <v>37</v>
      </c>
      <c r="H139" t="str">
        <f t="shared" si="15"/>
        <v>11</v>
      </c>
      <c r="I139" t="s">
        <v>27</v>
      </c>
      <c r="J139">
        <v>50</v>
      </c>
      <c r="K139">
        <v>50</v>
      </c>
      <c r="L139" s="1">
        <f t="shared" si="17"/>
        <v>50000</v>
      </c>
      <c r="M139" t="s">
        <v>475</v>
      </c>
      <c r="N139">
        <v>1</v>
      </c>
      <c r="O139" t="str">
        <f t="shared" si="16"/>
        <v>722</v>
      </c>
      <c r="P139" t="s">
        <v>30</v>
      </c>
      <c r="Q139" t="s">
        <v>27</v>
      </c>
      <c r="R139" t="s">
        <v>31</v>
      </c>
      <c r="S139" t="s">
        <v>28</v>
      </c>
      <c r="T139" t="str">
        <f>"15583123"</f>
        <v>15583123</v>
      </c>
      <c r="U139" t="s">
        <v>476</v>
      </c>
      <c r="V139" t="s">
        <v>477</v>
      </c>
    </row>
    <row r="140" spans="1:22" x14ac:dyDescent="0.25">
      <c r="A140" t="str">
        <f t="shared" si="18"/>
        <v>10807</v>
      </c>
      <c r="B140" t="s">
        <v>22</v>
      </c>
      <c r="C140" t="s">
        <v>23</v>
      </c>
      <c r="D140" s="1" t="s">
        <v>471</v>
      </c>
      <c r="E140" t="s">
        <v>25</v>
      </c>
      <c r="F140" t="s">
        <v>26</v>
      </c>
      <c r="G140" t="str">
        <f t="shared" si="19"/>
        <v>37</v>
      </c>
      <c r="H140" t="str">
        <f t="shared" si="15"/>
        <v>11</v>
      </c>
      <c r="I140" t="s">
        <v>37</v>
      </c>
      <c r="J140">
        <v>30</v>
      </c>
      <c r="K140">
        <v>30</v>
      </c>
      <c r="L140" s="1">
        <f t="shared" si="17"/>
        <v>30000</v>
      </c>
      <c r="M140" t="s">
        <v>478</v>
      </c>
      <c r="N140">
        <v>1</v>
      </c>
      <c r="O140" t="str">
        <f t="shared" si="16"/>
        <v>722</v>
      </c>
      <c r="P140" t="s">
        <v>39</v>
      </c>
      <c r="Q140" t="s">
        <v>37</v>
      </c>
      <c r="R140" t="s">
        <v>31</v>
      </c>
      <c r="S140" t="s">
        <v>28</v>
      </c>
      <c r="T140" t="str">
        <f>"94988177"</f>
        <v>94988177</v>
      </c>
      <c r="U140" t="s">
        <v>479</v>
      </c>
      <c r="V140" t="s">
        <v>480</v>
      </c>
    </row>
    <row r="141" spans="1:22" x14ac:dyDescent="0.25">
      <c r="A141" t="str">
        <f t="shared" si="18"/>
        <v>10807</v>
      </c>
      <c r="B141" t="s">
        <v>22</v>
      </c>
      <c r="C141" t="s">
        <v>23</v>
      </c>
      <c r="D141" s="1" t="s">
        <v>471</v>
      </c>
      <c r="E141" t="s">
        <v>25</v>
      </c>
      <c r="F141" t="s">
        <v>26</v>
      </c>
      <c r="G141" t="str">
        <f t="shared" si="19"/>
        <v>37</v>
      </c>
      <c r="H141" t="str">
        <f t="shared" si="15"/>
        <v>11</v>
      </c>
      <c r="I141" t="s">
        <v>27</v>
      </c>
      <c r="J141">
        <v>20</v>
      </c>
      <c r="K141">
        <v>20</v>
      </c>
      <c r="L141" s="1">
        <f t="shared" si="17"/>
        <v>20000</v>
      </c>
      <c r="M141" t="s">
        <v>481</v>
      </c>
      <c r="N141">
        <v>1</v>
      </c>
      <c r="O141" t="str">
        <f t="shared" si="16"/>
        <v>722</v>
      </c>
      <c r="P141" t="s">
        <v>30</v>
      </c>
      <c r="Q141" t="s">
        <v>27</v>
      </c>
      <c r="R141" t="s">
        <v>31</v>
      </c>
      <c r="S141" t="s">
        <v>28</v>
      </c>
      <c r="T141" t="str">
        <f>"78940958"</f>
        <v>78940958</v>
      </c>
      <c r="U141" t="s">
        <v>482</v>
      </c>
      <c r="V141" t="s">
        <v>483</v>
      </c>
    </row>
    <row r="142" spans="1:22" x14ac:dyDescent="0.25">
      <c r="A142" t="str">
        <f t="shared" si="18"/>
        <v>10807</v>
      </c>
      <c r="B142" t="s">
        <v>22</v>
      </c>
      <c r="C142" t="s">
        <v>23</v>
      </c>
      <c r="D142" s="1" t="s">
        <v>484</v>
      </c>
      <c r="E142" t="s">
        <v>25</v>
      </c>
      <c r="F142" t="s">
        <v>26</v>
      </c>
      <c r="G142" t="str">
        <f t="shared" si="19"/>
        <v>37</v>
      </c>
      <c r="H142" t="str">
        <f t="shared" si="15"/>
        <v>11</v>
      </c>
      <c r="I142" t="s">
        <v>37</v>
      </c>
      <c r="J142">
        <v>20</v>
      </c>
      <c r="K142">
        <v>20</v>
      </c>
      <c r="L142" s="1">
        <f t="shared" si="17"/>
        <v>20000</v>
      </c>
      <c r="M142" t="s">
        <v>485</v>
      </c>
      <c r="N142">
        <v>1</v>
      </c>
      <c r="O142" t="str">
        <f t="shared" si="16"/>
        <v>722</v>
      </c>
      <c r="P142" t="s">
        <v>39</v>
      </c>
      <c r="Q142" t="s">
        <v>37</v>
      </c>
      <c r="R142" t="s">
        <v>31</v>
      </c>
      <c r="S142" t="s">
        <v>28</v>
      </c>
      <c r="T142" t="str">
        <f>"72588802"</f>
        <v>72588802</v>
      </c>
      <c r="U142" t="s">
        <v>486</v>
      </c>
      <c r="V142" t="s">
        <v>487</v>
      </c>
    </row>
    <row r="143" spans="1:22" x14ac:dyDescent="0.25">
      <c r="A143" t="str">
        <f t="shared" si="18"/>
        <v>10807</v>
      </c>
      <c r="B143" t="s">
        <v>22</v>
      </c>
      <c r="C143" t="s">
        <v>23</v>
      </c>
      <c r="D143" s="1" t="s">
        <v>484</v>
      </c>
      <c r="E143" t="s">
        <v>25</v>
      </c>
      <c r="F143" t="s">
        <v>26</v>
      </c>
      <c r="G143" t="str">
        <f t="shared" si="19"/>
        <v>37</v>
      </c>
      <c r="H143" t="str">
        <f t="shared" si="15"/>
        <v>11</v>
      </c>
      <c r="I143" t="s">
        <v>27</v>
      </c>
      <c r="J143">
        <v>20</v>
      </c>
      <c r="K143">
        <v>20</v>
      </c>
      <c r="L143" s="1">
        <f t="shared" si="17"/>
        <v>20000</v>
      </c>
      <c r="M143" t="s">
        <v>488</v>
      </c>
      <c r="N143">
        <v>1</v>
      </c>
      <c r="O143" t="str">
        <f t="shared" si="16"/>
        <v>722</v>
      </c>
      <c r="P143" t="s">
        <v>30</v>
      </c>
      <c r="Q143" t="s">
        <v>27</v>
      </c>
      <c r="R143" t="s">
        <v>31</v>
      </c>
      <c r="S143" t="s">
        <v>28</v>
      </c>
      <c r="T143" t="str">
        <f>"20254924"</f>
        <v>20254924</v>
      </c>
      <c r="U143" t="s">
        <v>489</v>
      </c>
      <c r="V143" t="s">
        <v>490</v>
      </c>
    </row>
    <row r="144" spans="1:22" x14ac:dyDescent="0.25">
      <c r="A144" t="str">
        <f t="shared" si="18"/>
        <v>10807</v>
      </c>
      <c r="B144" t="s">
        <v>22</v>
      </c>
      <c r="C144" t="s">
        <v>23</v>
      </c>
      <c r="D144" s="1" t="s">
        <v>484</v>
      </c>
      <c r="E144" t="s">
        <v>25</v>
      </c>
      <c r="F144" t="s">
        <v>26</v>
      </c>
      <c r="G144" t="str">
        <f t="shared" si="19"/>
        <v>37</v>
      </c>
      <c r="H144" t="str">
        <f t="shared" si="15"/>
        <v>11</v>
      </c>
      <c r="I144" t="s">
        <v>27</v>
      </c>
      <c r="J144">
        <v>50</v>
      </c>
      <c r="K144">
        <v>50</v>
      </c>
      <c r="L144" s="1">
        <f t="shared" si="17"/>
        <v>50000</v>
      </c>
      <c r="M144" t="s">
        <v>491</v>
      </c>
      <c r="N144">
        <v>1</v>
      </c>
      <c r="O144" t="str">
        <f t="shared" si="16"/>
        <v>722</v>
      </c>
      <c r="P144" t="s">
        <v>30</v>
      </c>
      <c r="Q144" t="s">
        <v>27</v>
      </c>
      <c r="R144" t="s">
        <v>31</v>
      </c>
      <c r="S144" t="s">
        <v>28</v>
      </c>
      <c r="T144" t="str">
        <f>"80895395"</f>
        <v>80895395</v>
      </c>
      <c r="U144" t="s">
        <v>492</v>
      </c>
      <c r="V144" t="s">
        <v>493</v>
      </c>
    </row>
    <row r="145" spans="1:22" x14ac:dyDescent="0.25">
      <c r="A145" t="str">
        <f t="shared" si="18"/>
        <v>10807</v>
      </c>
      <c r="B145" t="s">
        <v>22</v>
      </c>
      <c r="C145" t="s">
        <v>23</v>
      </c>
      <c r="D145" s="1" t="s">
        <v>484</v>
      </c>
      <c r="E145" t="s">
        <v>25</v>
      </c>
      <c r="F145" t="s">
        <v>26</v>
      </c>
      <c r="G145" t="str">
        <f t="shared" si="19"/>
        <v>37</v>
      </c>
      <c r="H145" t="str">
        <f t="shared" si="15"/>
        <v>11</v>
      </c>
      <c r="I145" t="s">
        <v>37</v>
      </c>
      <c r="J145">
        <v>50</v>
      </c>
      <c r="K145">
        <v>50</v>
      </c>
      <c r="L145" s="1">
        <f t="shared" si="17"/>
        <v>50000</v>
      </c>
      <c r="M145" t="s">
        <v>494</v>
      </c>
      <c r="N145">
        <v>1</v>
      </c>
      <c r="O145" t="str">
        <f t="shared" si="16"/>
        <v>722</v>
      </c>
      <c r="P145" t="s">
        <v>39</v>
      </c>
      <c r="Q145" t="s">
        <v>37</v>
      </c>
      <c r="R145" t="s">
        <v>31</v>
      </c>
      <c r="S145" t="s">
        <v>28</v>
      </c>
      <c r="T145" t="str">
        <f>"25283862"</f>
        <v>25283862</v>
      </c>
      <c r="U145" t="s">
        <v>495</v>
      </c>
      <c r="V145" t="s">
        <v>496</v>
      </c>
    </row>
    <row r="146" spans="1:22" x14ac:dyDescent="0.25">
      <c r="A146" t="str">
        <f t="shared" si="18"/>
        <v>10807</v>
      </c>
      <c r="B146" t="s">
        <v>22</v>
      </c>
      <c r="C146" t="s">
        <v>23</v>
      </c>
      <c r="D146" s="1" t="s">
        <v>497</v>
      </c>
      <c r="E146" t="s">
        <v>25</v>
      </c>
      <c r="F146" t="s">
        <v>26</v>
      </c>
      <c r="G146" t="str">
        <f t="shared" si="19"/>
        <v>37</v>
      </c>
      <c r="H146" t="str">
        <f t="shared" ref="H146:H176" si="20">"11"</f>
        <v>11</v>
      </c>
      <c r="I146" t="s">
        <v>37</v>
      </c>
      <c r="J146">
        <v>20</v>
      </c>
      <c r="K146">
        <v>20</v>
      </c>
      <c r="L146" s="1">
        <f t="shared" ref="L146:L149" si="21">K146*1000</f>
        <v>20000</v>
      </c>
      <c r="M146" t="s">
        <v>498</v>
      </c>
      <c r="N146">
        <v>1</v>
      </c>
      <c r="O146" t="str">
        <f t="shared" si="16"/>
        <v>722</v>
      </c>
      <c r="P146" t="s">
        <v>39</v>
      </c>
      <c r="Q146" t="s">
        <v>37</v>
      </c>
      <c r="R146" t="s">
        <v>31</v>
      </c>
      <c r="S146" t="s">
        <v>28</v>
      </c>
      <c r="T146" t="str">
        <f>"99181545"</f>
        <v>99181545</v>
      </c>
      <c r="U146" t="s">
        <v>499</v>
      </c>
      <c r="V146" t="s">
        <v>500</v>
      </c>
    </row>
    <row r="147" spans="1:22" x14ac:dyDescent="0.25">
      <c r="A147" t="str">
        <f t="shared" si="18"/>
        <v>10807</v>
      </c>
      <c r="B147" t="s">
        <v>22</v>
      </c>
      <c r="C147" t="s">
        <v>23</v>
      </c>
      <c r="D147" s="1" t="s">
        <v>497</v>
      </c>
      <c r="E147" t="s">
        <v>25</v>
      </c>
      <c r="F147" t="s">
        <v>26</v>
      </c>
      <c r="G147" t="str">
        <f t="shared" si="19"/>
        <v>37</v>
      </c>
      <c r="H147" t="str">
        <f t="shared" si="20"/>
        <v>11</v>
      </c>
      <c r="I147" t="s">
        <v>37</v>
      </c>
      <c r="J147">
        <v>20</v>
      </c>
      <c r="K147">
        <v>20</v>
      </c>
      <c r="L147" s="1">
        <f t="shared" si="21"/>
        <v>20000</v>
      </c>
      <c r="M147" t="s">
        <v>501</v>
      </c>
      <c r="N147">
        <v>1</v>
      </c>
      <c r="O147" t="str">
        <f t="shared" si="16"/>
        <v>722</v>
      </c>
      <c r="P147" t="s">
        <v>39</v>
      </c>
      <c r="Q147" t="s">
        <v>37</v>
      </c>
      <c r="R147" t="s">
        <v>31</v>
      </c>
      <c r="S147" t="s">
        <v>28</v>
      </c>
      <c r="T147" t="str">
        <f>"20245876"</f>
        <v>20245876</v>
      </c>
      <c r="U147" t="s">
        <v>502</v>
      </c>
      <c r="V147" t="s">
        <v>503</v>
      </c>
    </row>
    <row r="148" spans="1:22" x14ac:dyDescent="0.25">
      <c r="A148" t="str">
        <f t="shared" si="18"/>
        <v>10807</v>
      </c>
      <c r="B148" t="s">
        <v>22</v>
      </c>
      <c r="C148" t="s">
        <v>23</v>
      </c>
      <c r="D148" s="1" t="s">
        <v>497</v>
      </c>
      <c r="E148" t="s">
        <v>25</v>
      </c>
      <c r="F148" t="s">
        <v>26</v>
      </c>
      <c r="G148" t="str">
        <f t="shared" si="19"/>
        <v>37</v>
      </c>
      <c r="H148" t="str">
        <f t="shared" si="20"/>
        <v>11</v>
      </c>
      <c r="I148" t="s">
        <v>37</v>
      </c>
      <c r="J148">
        <v>20</v>
      </c>
      <c r="K148">
        <v>20</v>
      </c>
      <c r="L148" s="1">
        <f t="shared" si="21"/>
        <v>20000</v>
      </c>
      <c r="M148" t="s">
        <v>504</v>
      </c>
      <c r="N148">
        <v>1</v>
      </c>
      <c r="O148" t="str">
        <f t="shared" si="16"/>
        <v>722</v>
      </c>
      <c r="P148" t="s">
        <v>39</v>
      </c>
      <c r="Q148" t="s">
        <v>37</v>
      </c>
      <c r="R148" t="s">
        <v>31</v>
      </c>
      <c r="S148" t="s">
        <v>28</v>
      </c>
      <c r="T148" t="str">
        <f>"36798894"</f>
        <v>36798894</v>
      </c>
      <c r="U148" t="s">
        <v>505</v>
      </c>
      <c r="V148" t="s">
        <v>506</v>
      </c>
    </row>
    <row r="149" spans="1:22" x14ac:dyDescent="0.25">
      <c r="A149" t="str">
        <f t="shared" si="18"/>
        <v>10807</v>
      </c>
      <c r="B149" t="s">
        <v>22</v>
      </c>
      <c r="C149" t="s">
        <v>23</v>
      </c>
      <c r="D149" s="1" t="s">
        <v>497</v>
      </c>
      <c r="E149" t="s">
        <v>25</v>
      </c>
      <c r="F149" t="s">
        <v>26</v>
      </c>
      <c r="G149" t="str">
        <f t="shared" si="19"/>
        <v>37</v>
      </c>
      <c r="H149" t="str">
        <f t="shared" si="20"/>
        <v>11</v>
      </c>
      <c r="I149" t="s">
        <v>27</v>
      </c>
      <c r="J149">
        <v>20</v>
      </c>
      <c r="K149">
        <v>20</v>
      </c>
      <c r="L149" s="1">
        <f t="shared" si="21"/>
        <v>20000</v>
      </c>
      <c r="M149" t="s">
        <v>507</v>
      </c>
      <c r="N149">
        <v>1</v>
      </c>
      <c r="O149" t="str">
        <f t="shared" si="16"/>
        <v>722</v>
      </c>
      <c r="P149" t="s">
        <v>30</v>
      </c>
      <c r="Q149" t="s">
        <v>27</v>
      </c>
      <c r="R149" t="s">
        <v>31</v>
      </c>
      <c r="S149" t="s">
        <v>28</v>
      </c>
      <c r="T149" t="str">
        <f>"14937916"</f>
        <v>14937916</v>
      </c>
      <c r="U149" t="s">
        <v>508</v>
      </c>
      <c r="V149" t="s">
        <v>509</v>
      </c>
    </row>
    <row r="150" spans="1:22" x14ac:dyDescent="0.25">
      <c r="A150" t="str">
        <f t="shared" si="18"/>
        <v>10807</v>
      </c>
      <c r="B150" t="s">
        <v>22</v>
      </c>
      <c r="C150" t="s">
        <v>23</v>
      </c>
      <c r="D150" s="1" t="s">
        <v>510</v>
      </c>
      <c r="E150" t="s">
        <v>25</v>
      </c>
      <c r="F150" t="s">
        <v>26</v>
      </c>
      <c r="G150" t="str">
        <f t="shared" si="19"/>
        <v>37</v>
      </c>
      <c r="H150" t="str">
        <f t="shared" si="20"/>
        <v>11</v>
      </c>
      <c r="I150" t="s">
        <v>37</v>
      </c>
      <c r="J150">
        <v>30</v>
      </c>
      <c r="K150">
        <v>30</v>
      </c>
      <c r="L150" s="1">
        <f t="shared" ref="L150:L213" si="22">K150*1000</f>
        <v>30000</v>
      </c>
      <c r="M150" t="s">
        <v>511</v>
      </c>
      <c r="N150">
        <v>1</v>
      </c>
      <c r="O150" t="str">
        <f t="shared" si="16"/>
        <v>722</v>
      </c>
      <c r="P150" t="s">
        <v>39</v>
      </c>
      <c r="Q150" t="s">
        <v>37</v>
      </c>
      <c r="R150" t="s">
        <v>31</v>
      </c>
      <c r="S150" t="s">
        <v>28</v>
      </c>
      <c r="T150" t="str">
        <f>"29350552"</f>
        <v>29350552</v>
      </c>
      <c r="U150" t="s">
        <v>512</v>
      </c>
      <c r="V150" t="s">
        <v>513</v>
      </c>
    </row>
    <row r="151" spans="1:22" x14ac:dyDescent="0.25">
      <c r="A151" t="str">
        <f t="shared" si="18"/>
        <v>10807</v>
      </c>
      <c r="B151" t="s">
        <v>22</v>
      </c>
      <c r="C151" t="s">
        <v>23</v>
      </c>
      <c r="D151" s="1" t="s">
        <v>510</v>
      </c>
      <c r="E151" t="s">
        <v>25</v>
      </c>
      <c r="F151" t="s">
        <v>26</v>
      </c>
      <c r="G151" t="str">
        <f t="shared" si="19"/>
        <v>37</v>
      </c>
      <c r="H151" t="str">
        <f t="shared" si="20"/>
        <v>11</v>
      </c>
      <c r="I151" t="s">
        <v>37</v>
      </c>
      <c r="J151">
        <v>30</v>
      </c>
      <c r="K151">
        <v>30</v>
      </c>
      <c r="L151" s="1">
        <f t="shared" si="22"/>
        <v>30000</v>
      </c>
      <c r="M151" t="s">
        <v>514</v>
      </c>
      <c r="N151">
        <v>1</v>
      </c>
      <c r="O151" t="str">
        <f t="shared" si="16"/>
        <v>722</v>
      </c>
      <c r="P151" t="s">
        <v>39</v>
      </c>
      <c r="Q151" t="s">
        <v>37</v>
      </c>
      <c r="R151" t="s">
        <v>31</v>
      </c>
      <c r="S151" t="s">
        <v>28</v>
      </c>
      <c r="T151" t="str">
        <f>"98758540"</f>
        <v>98758540</v>
      </c>
      <c r="U151" t="s">
        <v>515</v>
      </c>
      <c r="V151" t="s">
        <v>516</v>
      </c>
    </row>
    <row r="152" spans="1:22" x14ac:dyDescent="0.25">
      <c r="A152" t="str">
        <f t="shared" si="18"/>
        <v>10807</v>
      </c>
      <c r="B152" t="s">
        <v>22</v>
      </c>
      <c r="C152" t="s">
        <v>23</v>
      </c>
      <c r="D152" s="1" t="s">
        <v>510</v>
      </c>
      <c r="E152" t="s">
        <v>25</v>
      </c>
      <c r="F152" t="s">
        <v>26</v>
      </c>
      <c r="G152" t="str">
        <f t="shared" si="19"/>
        <v>37</v>
      </c>
      <c r="H152" t="str">
        <f t="shared" si="20"/>
        <v>11</v>
      </c>
      <c r="I152" t="s">
        <v>27</v>
      </c>
      <c r="J152">
        <v>40</v>
      </c>
      <c r="K152">
        <v>40</v>
      </c>
      <c r="L152" s="1">
        <f t="shared" si="22"/>
        <v>40000</v>
      </c>
      <c r="M152" t="s">
        <v>517</v>
      </c>
      <c r="N152">
        <v>1</v>
      </c>
      <c r="O152" t="str">
        <f t="shared" si="16"/>
        <v>722</v>
      </c>
      <c r="P152" t="s">
        <v>30</v>
      </c>
      <c r="Q152" t="s">
        <v>27</v>
      </c>
      <c r="R152" t="s">
        <v>31</v>
      </c>
      <c r="S152" t="s">
        <v>28</v>
      </c>
      <c r="T152" t="str">
        <f>"98586364"</f>
        <v>98586364</v>
      </c>
      <c r="U152" t="s">
        <v>518</v>
      </c>
      <c r="V152" t="s">
        <v>519</v>
      </c>
    </row>
    <row r="153" spans="1:22" x14ac:dyDescent="0.25">
      <c r="A153" t="str">
        <f t="shared" si="18"/>
        <v>10807</v>
      </c>
      <c r="B153" t="s">
        <v>22</v>
      </c>
      <c r="C153" t="s">
        <v>23</v>
      </c>
      <c r="D153" s="1" t="s">
        <v>510</v>
      </c>
      <c r="E153" t="s">
        <v>25</v>
      </c>
      <c r="F153" t="s">
        <v>26</v>
      </c>
      <c r="G153" t="str">
        <f t="shared" si="19"/>
        <v>37</v>
      </c>
      <c r="H153" t="str">
        <f t="shared" si="20"/>
        <v>11</v>
      </c>
      <c r="I153" t="s">
        <v>37</v>
      </c>
      <c r="J153">
        <v>19.495999999999999</v>
      </c>
      <c r="K153">
        <v>19.495999999999999</v>
      </c>
      <c r="L153" s="1">
        <f t="shared" si="22"/>
        <v>19496</v>
      </c>
      <c r="M153" t="s">
        <v>520</v>
      </c>
      <c r="N153">
        <v>1</v>
      </c>
      <c r="O153" t="str">
        <f t="shared" si="16"/>
        <v>722</v>
      </c>
      <c r="P153" t="s">
        <v>39</v>
      </c>
      <c r="Q153" t="s">
        <v>37</v>
      </c>
      <c r="R153" t="s">
        <v>31</v>
      </c>
      <c r="S153" t="s">
        <v>28</v>
      </c>
      <c r="T153" t="str">
        <f>"10697962"</f>
        <v>10697962</v>
      </c>
      <c r="U153" t="s">
        <v>521</v>
      </c>
      <c r="V153" t="s">
        <v>522</v>
      </c>
    </row>
    <row r="154" spans="1:22" x14ac:dyDescent="0.25">
      <c r="A154" t="str">
        <f t="shared" si="18"/>
        <v>10807</v>
      </c>
      <c r="B154" t="s">
        <v>22</v>
      </c>
      <c r="C154" t="s">
        <v>23</v>
      </c>
      <c r="D154" s="1" t="s">
        <v>523</v>
      </c>
      <c r="E154" t="s">
        <v>25</v>
      </c>
      <c r="F154" t="s">
        <v>26</v>
      </c>
      <c r="G154" t="str">
        <f t="shared" si="19"/>
        <v>37</v>
      </c>
      <c r="H154" t="str">
        <f t="shared" si="20"/>
        <v>11</v>
      </c>
      <c r="I154" t="s">
        <v>27</v>
      </c>
      <c r="J154">
        <v>20</v>
      </c>
      <c r="K154">
        <v>20</v>
      </c>
      <c r="L154" s="1">
        <f t="shared" si="22"/>
        <v>20000</v>
      </c>
      <c r="M154" t="s">
        <v>524</v>
      </c>
      <c r="N154">
        <v>1</v>
      </c>
      <c r="O154" t="str">
        <f t="shared" si="16"/>
        <v>722</v>
      </c>
      <c r="P154" t="s">
        <v>30</v>
      </c>
      <c r="Q154" t="s">
        <v>27</v>
      </c>
      <c r="R154" t="s">
        <v>31</v>
      </c>
      <c r="S154" t="s">
        <v>28</v>
      </c>
      <c r="T154" t="str">
        <f>"47930224"</f>
        <v>47930224</v>
      </c>
      <c r="U154" t="s">
        <v>525</v>
      </c>
      <c r="V154" t="s">
        <v>526</v>
      </c>
    </row>
    <row r="155" spans="1:22" x14ac:dyDescent="0.25">
      <c r="A155" t="str">
        <f t="shared" si="18"/>
        <v>10807</v>
      </c>
      <c r="B155" t="s">
        <v>22</v>
      </c>
      <c r="C155" t="s">
        <v>23</v>
      </c>
      <c r="D155" s="1" t="s">
        <v>523</v>
      </c>
      <c r="E155" t="s">
        <v>25</v>
      </c>
      <c r="F155" t="s">
        <v>26</v>
      </c>
      <c r="G155" t="str">
        <f t="shared" si="19"/>
        <v>37</v>
      </c>
      <c r="H155" t="str">
        <f t="shared" si="20"/>
        <v>11</v>
      </c>
      <c r="I155" t="s">
        <v>27</v>
      </c>
      <c r="J155">
        <v>20</v>
      </c>
      <c r="K155">
        <v>20</v>
      </c>
      <c r="L155" s="1">
        <f t="shared" si="22"/>
        <v>20000</v>
      </c>
      <c r="M155" t="s">
        <v>369</v>
      </c>
      <c r="N155">
        <v>1</v>
      </c>
      <c r="O155" t="str">
        <f t="shared" si="16"/>
        <v>722</v>
      </c>
      <c r="P155" t="s">
        <v>30</v>
      </c>
      <c r="Q155" t="s">
        <v>27</v>
      </c>
      <c r="R155" t="s">
        <v>31</v>
      </c>
      <c r="S155" t="s">
        <v>28</v>
      </c>
      <c r="T155" t="str">
        <f>"74824036"</f>
        <v>74824036</v>
      </c>
      <c r="U155" t="s">
        <v>527</v>
      </c>
      <c r="V155" t="s">
        <v>528</v>
      </c>
    </row>
    <row r="156" spans="1:22" x14ac:dyDescent="0.25">
      <c r="A156" t="str">
        <f t="shared" si="18"/>
        <v>10807</v>
      </c>
      <c r="B156" t="s">
        <v>22</v>
      </c>
      <c r="C156" t="s">
        <v>23</v>
      </c>
      <c r="D156" s="1" t="s">
        <v>523</v>
      </c>
      <c r="E156" t="s">
        <v>25</v>
      </c>
      <c r="F156" t="s">
        <v>26</v>
      </c>
      <c r="G156" t="str">
        <f t="shared" si="19"/>
        <v>37</v>
      </c>
      <c r="H156" t="str">
        <f t="shared" si="20"/>
        <v>11</v>
      </c>
      <c r="I156" t="s">
        <v>37</v>
      </c>
      <c r="J156">
        <v>30</v>
      </c>
      <c r="K156">
        <v>30</v>
      </c>
      <c r="L156" s="1">
        <f t="shared" si="22"/>
        <v>30000</v>
      </c>
      <c r="M156" t="s">
        <v>529</v>
      </c>
      <c r="N156">
        <v>1</v>
      </c>
      <c r="O156" t="str">
        <f t="shared" si="16"/>
        <v>722</v>
      </c>
      <c r="P156" t="s">
        <v>39</v>
      </c>
      <c r="Q156" t="s">
        <v>37</v>
      </c>
      <c r="R156" t="s">
        <v>31</v>
      </c>
      <c r="S156" t="s">
        <v>28</v>
      </c>
      <c r="T156" t="str">
        <f>"42190306"</f>
        <v>42190306</v>
      </c>
      <c r="U156" t="s">
        <v>530</v>
      </c>
      <c r="V156" t="s">
        <v>531</v>
      </c>
    </row>
    <row r="157" spans="1:22" x14ac:dyDescent="0.25">
      <c r="A157" t="str">
        <f t="shared" si="18"/>
        <v>10807</v>
      </c>
      <c r="B157" t="s">
        <v>22</v>
      </c>
      <c r="C157" t="s">
        <v>23</v>
      </c>
      <c r="D157" s="1" t="s">
        <v>523</v>
      </c>
      <c r="E157" t="s">
        <v>25</v>
      </c>
      <c r="F157" t="s">
        <v>26</v>
      </c>
      <c r="G157" t="str">
        <f t="shared" si="19"/>
        <v>37</v>
      </c>
      <c r="H157" t="str">
        <f t="shared" si="20"/>
        <v>11</v>
      </c>
      <c r="I157" t="s">
        <v>27</v>
      </c>
      <c r="J157">
        <v>19.736000000000001</v>
      </c>
      <c r="K157">
        <v>19.736000000000001</v>
      </c>
      <c r="L157" s="1">
        <f t="shared" si="22"/>
        <v>19736</v>
      </c>
      <c r="M157" t="s">
        <v>532</v>
      </c>
      <c r="N157">
        <v>1</v>
      </c>
      <c r="O157" t="str">
        <f t="shared" ref="O157:O188" si="23">"722"</f>
        <v>722</v>
      </c>
      <c r="P157" t="s">
        <v>30</v>
      </c>
      <c r="Q157" t="s">
        <v>27</v>
      </c>
      <c r="R157" t="s">
        <v>31</v>
      </c>
      <c r="S157" t="s">
        <v>28</v>
      </c>
      <c r="T157" t="str">
        <f>"40821566"</f>
        <v>40821566</v>
      </c>
      <c r="U157" t="s">
        <v>533</v>
      </c>
      <c r="V157" t="s">
        <v>534</v>
      </c>
    </row>
    <row r="158" spans="1:22" x14ac:dyDescent="0.25">
      <c r="A158" t="str">
        <f t="shared" si="18"/>
        <v>10807</v>
      </c>
      <c r="B158" t="s">
        <v>22</v>
      </c>
      <c r="C158" t="s">
        <v>23</v>
      </c>
      <c r="D158" s="1" t="s">
        <v>535</v>
      </c>
      <c r="E158" t="s">
        <v>25</v>
      </c>
      <c r="F158" t="s">
        <v>26</v>
      </c>
      <c r="G158" t="str">
        <f t="shared" si="19"/>
        <v>37</v>
      </c>
      <c r="H158" t="str">
        <f t="shared" si="20"/>
        <v>11</v>
      </c>
      <c r="I158" t="s">
        <v>27</v>
      </c>
      <c r="J158">
        <v>10</v>
      </c>
      <c r="K158">
        <v>10</v>
      </c>
      <c r="L158" s="1">
        <f t="shared" si="22"/>
        <v>10000</v>
      </c>
      <c r="M158" t="s">
        <v>536</v>
      </c>
      <c r="N158">
        <v>1</v>
      </c>
      <c r="O158" t="str">
        <f t="shared" si="23"/>
        <v>722</v>
      </c>
      <c r="P158" t="s">
        <v>30</v>
      </c>
      <c r="Q158" t="s">
        <v>27</v>
      </c>
      <c r="R158" t="s">
        <v>31</v>
      </c>
      <c r="S158" t="s">
        <v>28</v>
      </c>
      <c r="T158" t="str">
        <f>"20249660"</f>
        <v>20249660</v>
      </c>
      <c r="U158" t="s">
        <v>537</v>
      </c>
      <c r="V158" t="s">
        <v>419</v>
      </c>
    </row>
    <row r="159" spans="1:22" x14ac:dyDescent="0.25">
      <c r="A159" t="str">
        <f t="shared" si="18"/>
        <v>10807</v>
      </c>
      <c r="B159" t="s">
        <v>22</v>
      </c>
      <c r="C159" t="s">
        <v>23</v>
      </c>
      <c r="D159" s="1" t="s">
        <v>535</v>
      </c>
      <c r="E159" t="s">
        <v>25</v>
      </c>
      <c r="F159" t="s">
        <v>26</v>
      </c>
      <c r="G159" t="str">
        <f t="shared" si="19"/>
        <v>37</v>
      </c>
      <c r="H159" t="str">
        <f t="shared" si="20"/>
        <v>11</v>
      </c>
      <c r="I159" t="s">
        <v>37</v>
      </c>
      <c r="J159">
        <v>100</v>
      </c>
      <c r="K159">
        <v>100</v>
      </c>
      <c r="L159" s="1">
        <f t="shared" si="22"/>
        <v>100000</v>
      </c>
      <c r="M159" t="s">
        <v>538</v>
      </c>
      <c r="N159">
        <v>1</v>
      </c>
      <c r="O159" t="str">
        <f t="shared" si="23"/>
        <v>722</v>
      </c>
      <c r="P159" t="s">
        <v>39</v>
      </c>
      <c r="Q159" t="s">
        <v>37</v>
      </c>
      <c r="R159" t="s">
        <v>31</v>
      </c>
      <c r="S159" t="s">
        <v>28</v>
      </c>
      <c r="T159" t="str">
        <f>"30381955"</f>
        <v>30381955</v>
      </c>
      <c r="U159" t="s">
        <v>539</v>
      </c>
      <c r="V159" t="s">
        <v>540</v>
      </c>
    </row>
    <row r="160" spans="1:22" x14ac:dyDescent="0.25">
      <c r="A160" t="str">
        <f t="shared" si="18"/>
        <v>10807</v>
      </c>
      <c r="B160" t="s">
        <v>22</v>
      </c>
      <c r="C160" t="s">
        <v>23</v>
      </c>
      <c r="D160" s="1" t="s">
        <v>535</v>
      </c>
      <c r="E160" t="s">
        <v>25</v>
      </c>
      <c r="F160" t="s">
        <v>26</v>
      </c>
      <c r="G160" t="str">
        <f t="shared" si="19"/>
        <v>37</v>
      </c>
      <c r="H160" t="str">
        <f t="shared" si="20"/>
        <v>11</v>
      </c>
      <c r="I160" t="s">
        <v>37</v>
      </c>
      <c r="J160">
        <v>20</v>
      </c>
      <c r="K160">
        <v>20</v>
      </c>
      <c r="L160" s="1">
        <f t="shared" si="22"/>
        <v>20000</v>
      </c>
      <c r="M160" t="s">
        <v>541</v>
      </c>
      <c r="N160">
        <v>1</v>
      </c>
      <c r="O160" t="str">
        <f t="shared" si="23"/>
        <v>722</v>
      </c>
      <c r="P160" t="s">
        <v>39</v>
      </c>
      <c r="Q160" t="s">
        <v>37</v>
      </c>
      <c r="R160" t="s">
        <v>31</v>
      </c>
      <c r="S160" t="s">
        <v>28</v>
      </c>
      <c r="T160" t="str">
        <f>"37634012"</f>
        <v>37634012</v>
      </c>
      <c r="U160" t="s">
        <v>542</v>
      </c>
      <c r="V160" t="s">
        <v>543</v>
      </c>
    </row>
    <row r="161" spans="1:22" x14ac:dyDescent="0.25">
      <c r="A161" t="str">
        <f t="shared" si="18"/>
        <v>10807</v>
      </c>
      <c r="B161" t="s">
        <v>22</v>
      </c>
      <c r="C161" t="s">
        <v>23</v>
      </c>
      <c r="D161" s="1" t="s">
        <v>544</v>
      </c>
      <c r="E161" t="s">
        <v>25</v>
      </c>
      <c r="F161" t="s">
        <v>26</v>
      </c>
      <c r="G161" t="str">
        <f t="shared" si="19"/>
        <v>37</v>
      </c>
      <c r="H161" t="str">
        <f t="shared" si="20"/>
        <v>11</v>
      </c>
      <c r="I161" t="s">
        <v>37</v>
      </c>
      <c r="J161">
        <v>40</v>
      </c>
      <c r="K161">
        <v>40</v>
      </c>
      <c r="L161" s="1">
        <f t="shared" si="22"/>
        <v>40000</v>
      </c>
      <c r="M161" t="s">
        <v>545</v>
      </c>
      <c r="N161">
        <v>1</v>
      </c>
      <c r="O161" t="str">
        <f t="shared" si="23"/>
        <v>722</v>
      </c>
      <c r="P161" t="s">
        <v>39</v>
      </c>
      <c r="Q161" t="s">
        <v>37</v>
      </c>
      <c r="R161" t="s">
        <v>31</v>
      </c>
      <c r="S161" t="s">
        <v>28</v>
      </c>
      <c r="T161" t="str">
        <f>"45528730"</f>
        <v>45528730</v>
      </c>
      <c r="U161" t="s">
        <v>546</v>
      </c>
      <c r="V161" t="s">
        <v>547</v>
      </c>
    </row>
    <row r="162" spans="1:22" x14ac:dyDescent="0.25">
      <c r="A162" t="str">
        <f t="shared" si="18"/>
        <v>10807</v>
      </c>
      <c r="B162" t="s">
        <v>22</v>
      </c>
      <c r="C162" t="s">
        <v>23</v>
      </c>
      <c r="D162" s="1" t="s">
        <v>544</v>
      </c>
      <c r="E162" t="s">
        <v>25</v>
      </c>
      <c r="F162" t="s">
        <v>26</v>
      </c>
      <c r="G162" t="str">
        <f t="shared" si="19"/>
        <v>37</v>
      </c>
      <c r="H162" t="str">
        <f t="shared" si="20"/>
        <v>11</v>
      </c>
      <c r="I162" t="s">
        <v>37</v>
      </c>
      <c r="J162">
        <v>20</v>
      </c>
      <c r="K162">
        <v>20</v>
      </c>
      <c r="L162" s="1">
        <f t="shared" si="22"/>
        <v>20000</v>
      </c>
      <c r="M162" t="s">
        <v>548</v>
      </c>
      <c r="N162">
        <v>1</v>
      </c>
      <c r="O162" t="str">
        <f t="shared" si="23"/>
        <v>722</v>
      </c>
      <c r="P162" t="s">
        <v>39</v>
      </c>
      <c r="Q162" t="s">
        <v>37</v>
      </c>
      <c r="R162" t="s">
        <v>31</v>
      </c>
      <c r="S162" t="s">
        <v>28</v>
      </c>
      <c r="T162" t="str">
        <f>"10751352"</f>
        <v>10751352</v>
      </c>
      <c r="U162" t="s">
        <v>549</v>
      </c>
      <c r="V162" t="s">
        <v>550</v>
      </c>
    </row>
    <row r="163" spans="1:22" x14ac:dyDescent="0.25">
      <c r="A163" t="str">
        <f t="shared" si="18"/>
        <v>10807</v>
      </c>
      <c r="B163" t="s">
        <v>22</v>
      </c>
      <c r="C163" t="s">
        <v>23</v>
      </c>
      <c r="D163" s="1" t="s">
        <v>544</v>
      </c>
      <c r="E163" t="s">
        <v>25</v>
      </c>
      <c r="F163" t="s">
        <v>26</v>
      </c>
      <c r="G163" t="str">
        <f t="shared" si="19"/>
        <v>37</v>
      </c>
      <c r="H163" t="str">
        <f t="shared" si="20"/>
        <v>11</v>
      </c>
      <c r="I163" t="s">
        <v>37</v>
      </c>
      <c r="J163">
        <v>20</v>
      </c>
      <c r="K163">
        <v>20</v>
      </c>
      <c r="L163" s="1">
        <f t="shared" si="22"/>
        <v>20000</v>
      </c>
      <c r="M163" t="s">
        <v>551</v>
      </c>
      <c r="N163">
        <v>1</v>
      </c>
      <c r="O163" t="str">
        <f t="shared" si="23"/>
        <v>722</v>
      </c>
      <c r="P163" t="s">
        <v>39</v>
      </c>
      <c r="Q163" t="s">
        <v>37</v>
      </c>
      <c r="R163" t="s">
        <v>31</v>
      </c>
      <c r="S163" t="s">
        <v>28</v>
      </c>
      <c r="T163" t="str">
        <f>"25332646"</f>
        <v>25332646</v>
      </c>
      <c r="U163" t="s">
        <v>552</v>
      </c>
      <c r="V163" t="s">
        <v>553</v>
      </c>
    </row>
    <row r="164" spans="1:22" x14ac:dyDescent="0.25">
      <c r="A164" t="str">
        <f t="shared" si="18"/>
        <v>10807</v>
      </c>
      <c r="B164" t="s">
        <v>22</v>
      </c>
      <c r="C164" t="s">
        <v>23</v>
      </c>
      <c r="D164" s="1" t="s">
        <v>544</v>
      </c>
      <c r="E164" t="s">
        <v>25</v>
      </c>
      <c r="F164" t="s">
        <v>26</v>
      </c>
      <c r="G164" t="str">
        <f t="shared" si="19"/>
        <v>37</v>
      </c>
      <c r="H164" t="str">
        <f t="shared" si="20"/>
        <v>11</v>
      </c>
      <c r="I164" t="s">
        <v>37</v>
      </c>
      <c r="J164">
        <v>20</v>
      </c>
      <c r="K164">
        <v>20</v>
      </c>
      <c r="L164" s="1">
        <f t="shared" si="22"/>
        <v>20000</v>
      </c>
      <c r="M164" t="s">
        <v>554</v>
      </c>
      <c r="N164">
        <v>1</v>
      </c>
      <c r="O164" t="str">
        <f t="shared" si="23"/>
        <v>722</v>
      </c>
      <c r="P164" t="s">
        <v>39</v>
      </c>
      <c r="Q164" t="s">
        <v>37</v>
      </c>
      <c r="R164" t="s">
        <v>31</v>
      </c>
      <c r="S164" t="s">
        <v>28</v>
      </c>
      <c r="T164" t="str">
        <f>"26889282"</f>
        <v>26889282</v>
      </c>
      <c r="U164" t="s">
        <v>555</v>
      </c>
      <c r="V164" t="s">
        <v>556</v>
      </c>
    </row>
    <row r="165" spans="1:22" x14ac:dyDescent="0.25">
      <c r="A165" t="str">
        <f t="shared" si="18"/>
        <v>10807</v>
      </c>
      <c r="B165" t="s">
        <v>22</v>
      </c>
      <c r="C165" t="s">
        <v>23</v>
      </c>
      <c r="D165" s="1" t="s">
        <v>557</v>
      </c>
      <c r="E165" t="s">
        <v>25</v>
      </c>
      <c r="F165" t="s">
        <v>26</v>
      </c>
      <c r="G165" t="str">
        <f t="shared" si="19"/>
        <v>37</v>
      </c>
      <c r="H165" t="str">
        <f t="shared" si="20"/>
        <v>11</v>
      </c>
      <c r="I165" t="s">
        <v>27</v>
      </c>
      <c r="J165">
        <v>20</v>
      </c>
      <c r="K165">
        <v>20</v>
      </c>
      <c r="L165" s="1">
        <f t="shared" si="22"/>
        <v>20000</v>
      </c>
      <c r="M165" t="s">
        <v>558</v>
      </c>
      <c r="N165">
        <v>1</v>
      </c>
      <c r="O165" t="str">
        <f t="shared" si="23"/>
        <v>722</v>
      </c>
      <c r="P165" t="s">
        <v>30</v>
      </c>
      <c r="Q165" t="s">
        <v>27</v>
      </c>
      <c r="R165" t="s">
        <v>31</v>
      </c>
      <c r="S165" t="s">
        <v>28</v>
      </c>
      <c r="T165" t="str">
        <f>"78489343"</f>
        <v>78489343</v>
      </c>
      <c r="U165" t="s">
        <v>559</v>
      </c>
      <c r="V165" t="s">
        <v>560</v>
      </c>
    </row>
    <row r="166" spans="1:22" x14ac:dyDescent="0.25">
      <c r="A166" t="str">
        <f t="shared" si="18"/>
        <v>10807</v>
      </c>
      <c r="B166" t="s">
        <v>22</v>
      </c>
      <c r="C166" t="s">
        <v>23</v>
      </c>
      <c r="D166" s="1" t="s">
        <v>557</v>
      </c>
      <c r="E166" t="s">
        <v>25</v>
      </c>
      <c r="F166" t="s">
        <v>26</v>
      </c>
      <c r="G166" t="str">
        <f t="shared" si="19"/>
        <v>37</v>
      </c>
      <c r="H166" t="str">
        <f t="shared" si="20"/>
        <v>11</v>
      </c>
      <c r="I166" t="s">
        <v>37</v>
      </c>
      <c r="J166">
        <v>20</v>
      </c>
      <c r="K166">
        <v>20</v>
      </c>
      <c r="L166" s="1">
        <f t="shared" si="22"/>
        <v>20000</v>
      </c>
      <c r="M166" t="s">
        <v>561</v>
      </c>
      <c r="N166">
        <v>1</v>
      </c>
      <c r="O166" t="str">
        <f t="shared" si="23"/>
        <v>722</v>
      </c>
      <c r="P166" t="s">
        <v>39</v>
      </c>
      <c r="Q166" t="s">
        <v>37</v>
      </c>
      <c r="R166" t="s">
        <v>31</v>
      </c>
      <c r="S166" t="s">
        <v>28</v>
      </c>
      <c r="T166" t="str">
        <f>"25848496"</f>
        <v>25848496</v>
      </c>
      <c r="U166" t="s">
        <v>562</v>
      </c>
      <c r="V166" t="s">
        <v>563</v>
      </c>
    </row>
    <row r="167" spans="1:22" x14ac:dyDescent="0.25">
      <c r="A167" t="str">
        <f t="shared" si="18"/>
        <v>10807</v>
      </c>
      <c r="B167" t="s">
        <v>22</v>
      </c>
      <c r="C167" t="s">
        <v>23</v>
      </c>
      <c r="D167" s="1" t="s">
        <v>557</v>
      </c>
      <c r="E167" t="s">
        <v>25</v>
      </c>
      <c r="F167" t="s">
        <v>26</v>
      </c>
      <c r="G167" t="str">
        <f t="shared" si="19"/>
        <v>37</v>
      </c>
      <c r="H167" t="str">
        <f t="shared" si="20"/>
        <v>11</v>
      </c>
      <c r="I167" t="s">
        <v>37</v>
      </c>
      <c r="J167">
        <v>20</v>
      </c>
      <c r="K167">
        <v>20</v>
      </c>
      <c r="L167" s="1">
        <f t="shared" si="22"/>
        <v>20000</v>
      </c>
      <c r="M167" t="s">
        <v>564</v>
      </c>
      <c r="N167">
        <v>1</v>
      </c>
      <c r="O167" t="str">
        <f t="shared" si="23"/>
        <v>722</v>
      </c>
      <c r="P167" t="s">
        <v>39</v>
      </c>
      <c r="Q167" t="s">
        <v>37</v>
      </c>
      <c r="R167" t="s">
        <v>31</v>
      </c>
      <c r="S167" t="s">
        <v>28</v>
      </c>
      <c r="T167" t="str">
        <f>"26830375"</f>
        <v>26830375</v>
      </c>
      <c r="U167" t="s">
        <v>565</v>
      </c>
      <c r="V167" t="s">
        <v>566</v>
      </c>
    </row>
    <row r="168" spans="1:22" x14ac:dyDescent="0.25">
      <c r="A168" t="str">
        <f t="shared" si="18"/>
        <v>10807</v>
      </c>
      <c r="B168" t="s">
        <v>22</v>
      </c>
      <c r="C168" t="s">
        <v>23</v>
      </c>
      <c r="D168" s="1" t="s">
        <v>567</v>
      </c>
      <c r="E168" t="s">
        <v>25</v>
      </c>
      <c r="F168" t="s">
        <v>26</v>
      </c>
      <c r="G168" t="str">
        <f t="shared" si="19"/>
        <v>37</v>
      </c>
      <c r="H168" t="str">
        <f t="shared" si="20"/>
        <v>11</v>
      </c>
      <c r="I168" t="s">
        <v>27</v>
      </c>
      <c r="J168">
        <v>20</v>
      </c>
      <c r="K168">
        <v>20</v>
      </c>
      <c r="L168" s="1">
        <f t="shared" si="22"/>
        <v>20000</v>
      </c>
      <c r="M168" t="s">
        <v>568</v>
      </c>
      <c r="N168">
        <v>1</v>
      </c>
      <c r="O168" t="str">
        <f t="shared" si="23"/>
        <v>722</v>
      </c>
      <c r="P168" t="s">
        <v>30</v>
      </c>
      <c r="Q168" t="s">
        <v>27</v>
      </c>
      <c r="R168" t="s">
        <v>31</v>
      </c>
      <c r="S168" t="s">
        <v>28</v>
      </c>
      <c r="T168" t="str">
        <f>"41135306"</f>
        <v>41135306</v>
      </c>
      <c r="U168" t="s">
        <v>569</v>
      </c>
      <c r="V168" t="s">
        <v>570</v>
      </c>
    </row>
    <row r="169" spans="1:22" x14ac:dyDescent="0.25">
      <c r="A169" t="str">
        <f t="shared" si="18"/>
        <v>10807</v>
      </c>
      <c r="B169" t="s">
        <v>22</v>
      </c>
      <c r="C169" t="s">
        <v>23</v>
      </c>
      <c r="D169" s="1" t="s">
        <v>567</v>
      </c>
      <c r="E169" t="s">
        <v>25</v>
      </c>
      <c r="F169" t="s">
        <v>26</v>
      </c>
      <c r="G169" t="str">
        <f t="shared" si="19"/>
        <v>37</v>
      </c>
      <c r="H169" t="str">
        <f t="shared" si="20"/>
        <v>11</v>
      </c>
      <c r="I169" t="s">
        <v>37</v>
      </c>
      <c r="J169">
        <v>15</v>
      </c>
      <c r="K169">
        <v>15</v>
      </c>
      <c r="L169" s="1">
        <f t="shared" si="22"/>
        <v>15000</v>
      </c>
      <c r="M169" t="s">
        <v>571</v>
      </c>
      <c r="N169">
        <v>1</v>
      </c>
      <c r="O169" t="str">
        <f t="shared" si="23"/>
        <v>722</v>
      </c>
      <c r="P169" t="s">
        <v>39</v>
      </c>
      <c r="Q169" t="s">
        <v>37</v>
      </c>
      <c r="R169" t="s">
        <v>31</v>
      </c>
      <c r="S169" t="s">
        <v>28</v>
      </c>
      <c r="T169" t="str">
        <f>"39799242"</f>
        <v>39799242</v>
      </c>
      <c r="U169" t="s">
        <v>572</v>
      </c>
      <c r="V169" t="s">
        <v>573</v>
      </c>
    </row>
    <row r="170" spans="1:22" x14ac:dyDescent="0.25">
      <c r="A170" t="str">
        <f t="shared" si="18"/>
        <v>10807</v>
      </c>
      <c r="B170" t="s">
        <v>22</v>
      </c>
      <c r="C170" t="s">
        <v>23</v>
      </c>
      <c r="D170" s="1" t="s">
        <v>2665</v>
      </c>
      <c r="E170" t="s">
        <v>25</v>
      </c>
      <c r="F170" t="s">
        <v>26</v>
      </c>
      <c r="G170" t="str">
        <f t="shared" si="19"/>
        <v>37</v>
      </c>
      <c r="H170" t="str">
        <f t="shared" si="20"/>
        <v>11</v>
      </c>
      <c r="I170" t="s">
        <v>37</v>
      </c>
      <c r="J170">
        <v>20</v>
      </c>
      <c r="K170">
        <v>20</v>
      </c>
      <c r="L170" s="1">
        <f t="shared" si="22"/>
        <v>20000</v>
      </c>
      <c r="M170" t="s">
        <v>574</v>
      </c>
      <c r="N170">
        <v>1</v>
      </c>
      <c r="O170" t="str">
        <f t="shared" si="23"/>
        <v>722</v>
      </c>
      <c r="P170" t="s">
        <v>39</v>
      </c>
      <c r="Q170" t="s">
        <v>37</v>
      </c>
      <c r="R170" t="s">
        <v>31</v>
      </c>
      <c r="S170" t="s">
        <v>28</v>
      </c>
      <c r="T170" t="str">
        <f>"99545829"</f>
        <v>99545829</v>
      </c>
      <c r="U170" t="s">
        <v>575</v>
      </c>
      <c r="V170" t="s">
        <v>576</v>
      </c>
    </row>
    <row r="171" spans="1:22" x14ac:dyDescent="0.25">
      <c r="A171" t="str">
        <f t="shared" si="18"/>
        <v>10807</v>
      </c>
      <c r="B171" t="s">
        <v>22</v>
      </c>
      <c r="C171" t="s">
        <v>23</v>
      </c>
      <c r="D171" s="1" t="s">
        <v>577</v>
      </c>
      <c r="E171" t="s">
        <v>25</v>
      </c>
      <c r="F171" t="s">
        <v>26</v>
      </c>
      <c r="G171" t="str">
        <f t="shared" si="19"/>
        <v>37</v>
      </c>
      <c r="H171" t="str">
        <f t="shared" si="20"/>
        <v>11</v>
      </c>
      <c r="I171" t="s">
        <v>37</v>
      </c>
      <c r="J171">
        <v>80</v>
      </c>
      <c r="K171">
        <v>80</v>
      </c>
      <c r="L171" s="1">
        <f t="shared" si="22"/>
        <v>80000</v>
      </c>
      <c r="M171" t="s">
        <v>578</v>
      </c>
      <c r="N171">
        <v>1</v>
      </c>
      <c r="O171" t="str">
        <f t="shared" si="23"/>
        <v>722</v>
      </c>
      <c r="P171" t="s">
        <v>39</v>
      </c>
      <c r="Q171" t="s">
        <v>37</v>
      </c>
      <c r="R171" t="s">
        <v>31</v>
      </c>
      <c r="S171" t="s">
        <v>28</v>
      </c>
      <c r="T171" t="str">
        <f>"25958556"</f>
        <v>25958556</v>
      </c>
      <c r="U171" t="s">
        <v>579</v>
      </c>
      <c r="V171" t="s">
        <v>580</v>
      </c>
    </row>
    <row r="172" spans="1:22" x14ac:dyDescent="0.25">
      <c r="A172" t="str">
        <f t="shared" si="18"/>
        <v>10807</v>
      </c>
      <c r="B172" t="s">
        <v>22</v>
      </c>
      <c r="C172" t="s">
        <v>23</v>
      </c>
      <c r="D172" s="1" t="s">
        <v>577</v>
      </c>
      <c r="E172" t="s">
        <v>25</v>
      </c>
      <c r="F172" t="s">
        <v>26</v>
      </c>
      <c r="G172" t="str">
        <f t="shared" si="19"/>
        <v>37</v>
      </c>
      <c r="H172" t="str">
        <f t="shared" si="20"/>
        <v>11</v>
      </c>
      <c r="I172" t="s">
        <v>27</v>
      </c>
      <c r="J172">
        <v>30</v>
      </c>
      <c r="K172">
        <v>30</v>
      </c>
      <c r="L172" s="1">
        <f t="shared" si="22"/>
        <v>30000</v>
      </c>
      <c r="M172" t="s">
        <v>581</v>
      </c>
      <c r="N172">
        <v>1</v>
      </c>
      <c r="O172" t="str">
        <f t="shared" si="23"/>
        <v>722</v>
      </c>
      <c r="P172" t="s">
        <v>30</v>
      </c>
      <c r="Q172" t="s">
        <v>27</v>
      </c>
      <c r="R172" t="s">
        <v>31</v>
      </c>
      <c r="S172" t="s">
        <v>28</v>
      </c>
      <c r="T172" t="str">
        <f>"98179211"</f>
        <v>98179211</v>
      </c>
      <c r="U172" t="s">
        <v>582</v>
      </c>
      <c r="V172" t="s">
        <v>583</v>
      </c>
    </row>
    <row r="173" spans="1:22" x14ac:dyDescent="0.25">
      <c r="A173" t="str">
        <f t="shared" si="18"/>
        <v>10807</v>
      </c>
      <c r="B173" t="s">
        <v>22</v>
      </c>
      <c r="C173" t="s">
        <v>23</v>
      </c>
      <c r="D173" s="1" t="s">
        <v>577</v>
      </c>
      <c r="E173" t="s">
        <v>25</v>
      </c>
      <c r="F173" t="s">
        <v>26</v>
      </c>
      <c r="G173" t="str">
        <f t="shared" si="19"/>
        <v>37</v>
      </c>
      <c r="H173" t="str">
        <f t="shared" si="20"/>
        <v>11</v>
      </c>
      <c r="I173" t="s">
        <v>37</v>
      </c>
      <c r="J173">
        <v>20</v>
      </c>
      <c r="K173">
        <v>20</v>
      </c>
      <c r="L173" s="1">
        <f t="shared" si="22"/>
        <v>20000</v>
      </c>
      <c r="M173" t="s">
        <v>584</v>
      </c>
      <c r="N173">
        <v>1</v>
      </c>
      <c r="O173" t="str">
        <f t="shared" si="23"/>
        <v>722</v>
      </c>
      <c r="P173" t="s">
        <v>39</v>
      </c>
      <c r="Q173" t="s">
        <v>37</v>
      </c>
      <c r="R173" t="s">
        <v>31</v>
      </c>
      <c r="S173" t="s">
        <v>28</v>
      </c>
      <c r="T173" t="str">
        <f>"40775275"</f>
        <v>40775275</v>
      </c>
      <c r="U173" t="s">
        <v>585</v>
      </c>
      <c r="V173" t="s">
        <v>586</v>
      </c>
    </row>
    <row r="174" spans="1:22" x14ac:dyDescent="0.25">
      <c r="A174" t="str">
        <f t="shared" si="18"/>
        <v>10807</v>
      </c>
      <c r="B174" t="s">
        <v>22</v>
      </c>
      <c r="C174" t="s">
        <v>23</v>
      </c>
      <c r="D174" s="1" t="s">
        <v>587</v>
      </c>
      <c r="E174" t="s">
        <v>25</v>
      </c>
      <c r="F174" t="s">
        <v>26</v>
      </c>
      <c r="G174" t="str">
        <f t="shared" si="19"/>
        <v>37</v>
      </c>
      <c r="H174" t="str">
        <f t="shared" si="20"/>
        <v>11</v>
      </c>
      <c r="I174" t="s">
        <v>37</v>
      </c>
      <c r="J174">
        <v>15</v>
      </c>
      <c r="K174">
        <v>15</v>
      </c>
      <c r="L174" s="1">
        <f t="shared" si="22"/>
        <v>15000</v>
      </c>
      <c r="M174" t="s">
        <v>588</v>
      </c>
      <c r="N174">
        <v>1</v>
      </c>
      <c r="O174" t="str">
        <f t="shared" si="23"/>
        <v>722</v>
      </c>
      <c r="P174" t="s">
        <v>39</v>
      </c>
      <c r="Q174" t="s">
        <v>37</v>
      </c>
      <c r="R174" t="s">
        <v>31</v>
      </c>
      <c r="S174" t="s">
        <v>28</v>
      </c>
      <c r="T174" t="str">
        <f>"25809655"</f>
        <v>25809655</v>
      </c>
      <c r="U174" t="s">
        <v>589</v>
      </c>
      <c r="V174" t="s">
        <v>196</v>
      </c>
    </row>
    <row r="175" spans="1:22" x14ac:dyDescent="0.25">
      <c r="A175" t="str">
        <f t="shared" si="18"/>
        <v>10807</v>
      </c>
      <c r="B175" t="s">
        <v>22</v>
      </c>
      <c r="C175" t="s">
        <v>23</v>
      </c>
      <c r="D175" s="1" t="s">
        <v>587</v>
      </c>
      <c r="E175" t="s">
        <v>25</v>
      </c>
      <c r="F175" t="s">
        <v>26</v>
      </c>
      <c r="G175" t="str">
        <f t="shared" si="19"/>
        <v>37</v>
      </c>
      <c r="H175" t="str">
        <f t="shared" si="20"/>
        <v>11</v>
      </c>
      <c r="I175" t="s">
        <v>37</v>
      </c>
      <c r="J175">
        <v>10</v>
      </c>
      <c r="K175">
        <v>10</v>
      </c>
      <c r="L175" s="1">
        <f t="shared" si="22"/>
        <v>10000</v>
      </c>
      <c r="M175" t="s">
        <v>590</v>
      </c>
      <c r="N175">
        <v>1</v>
      </c>
      <c r="O175" t="str">
        <f t="shared" si="23"/>
        <v>722</v>
      </c>
      <c r="P175" t="s">
        <v>39</v>
      </c>
      <c r="Q175" t="s">
        <v>37</v>
      </c>
      <c r="R175" t="s">
        <v>31</v>
      </c>
      <c r="S175" t="s">
        <v>28</v>
      </c>
      <c r="T175" t="str">
        <f>"98762220"</f>
        <v>98762220</v>
      </c>
      <c r="U175" t="s">
        <v>591</v>
      </c>
      <c r="V175" t="s">
        <v>592</v>
      </c>
    </row>
    <row r="176" spans="1:22" x14ac:dyDescent="0.25">
      <c r="A176" t="str">
        <f t="shared" si="18"/>
        <v>10807</v>
      </c>
      <c r="B176" t="s">
        <v>22</v>
      </c>
      <c r="C176" t="s">
        <v>23</v>
      </c>
      <c r="D176" s="1" t="s">
        <v>587</v>
      </c>
      <c r="E176" t="s">
        <v>25</v>
      </c>
      <c r="F176" t="s">
        <v>26</v>
      </c>
      <c r="G176" t="str">
        <f t="shared" si="19"/>
        <v>37</v>
      </c>
      <c r="H176" t="str">
        <f t="shared" si="20"/>
        <v>11</v>
      </c>
      <c r="I176" t="s">
        <v>27</v>
      </c>
      <c r="J176">
        <v>20</v>
      </c>
      <c r="K176">
        <v>20</v>
      </c>
      <c r="L176" s="1">
        <f t="shared" si="22"/>
        <v>20000</v>
      </c>
      <c r="M176" t="s">
        <v>593</v>
      </c>
      <c r="N176">
        <v>1</v>
      </c>
      <c r="O176" t="str">
        <f t="shared" si="23"/>
        <v>722</v>
      </c>
      <c r="P176" t="s">
        <v>30</v>
      </c>
      <c r="Q176" t="s">
        <v>27</v>
      </c>
      <c r="R176" t="s">
        <v>31</v>
      </c>
      <c r="S176" t="s">
        <v>28</v>
      </c>
      <c r="T176" t="str">
        <f>"99021935"</f>
        <v>99021935</v>
      </c>
      <c r="U176" t="s">
        <v>594</v>
      </c>
      <c r="V176" t="s">
        <v>595</v>
      </c>
    </row>
    <row r="177" spans="1:22" x14ac:dyDescent="0.25">
      <c r="A177" t="str">
        <f t="shared" si="18"/>
        <v>10807</v>
      </c>
      <c r="B177" t="s">
        <v>22</v>
      </c>
      <c r="C177" t="s">
        <v>23</v>
      </c>
      <c r="D177" s="1" t="s">
        <v>587</v>
      </c>
      <c r="E177" t="s">
        <v>25</v>
      </c>
      <c r="F177" t="s">
        <v>26</v>
      </c>
      <c r="G177" t="str">
        <f t="shared" si="19"/>
        <v>37</v>
      </c>
      <c r="H177" t="str">
        <f t="shared" ref="H177:H208" si="24">"11"</f>
        <v>11</v>
      </c>
      <c r="I177" t="s">
        <v>37</v>
      </c>
      <c r="J177">
        <v>20</v>
      </c>
      <c r="K177">
        <v>20</v>
      </c>
      <c r="L177" s="1">
        <f t="shared" si="22"/>
        <v>20000</v>
      </c>
      <c r="M177" t="s">
        <v>596</v>
      </c>
      <c r="N177">
        <v>1</v>
      </c>
      <c r="O177" t="str">
        <f t="shared" si="23"/>
        <v>722</v>
      </c>
      <c r="P177" t="s">
        <v>39</v>
      </c>
      <c r="Q177" t="s">
        <v>37</v>
      </c>
      <c r="R177" t="s">
        <v>31</v>
      </c>
      <c r="S177" t="s">
        <v>28</v>
      </c>
      <c r="T177" t="str">
        <f>"99024623"</f>
        <v>99024623</v>
      </c>
      <c r="U177" t="s">
        <v>597</v>
      </c>
      <c r="V177" t="s">
        <v>598</v>
      </c>
    </row>
    <row r="178" spans="1:22" x14ac:dyDescent="0.25">
      <c r="A178" t="str">
        <f t="shared" si="18"/>
        <v>10807</v>
      </c>
      <c r="B178" t="s">
        <v>22</v>
      </c>
      <c r="C178" t="s">
        <v>23</v>
      </c>
      <c r="D178" s="1" t="s">
        <v>599</v>
      </c>
      <c r="E178" t="s">
        <v>25</v>
      </c>
      <c r="F178" t="s">
        <v>26</v>
      </c>
      <c r="G178" t="str">
        <f t="shared" si="19"/>
        <v>37</v>
      </c>
      <c r="H178" t="str">
        <f t="shared" si="24"/>
        <v>11</v>
      </c>
      <c r="I178" t="s">
        <v>37</v>
      </c>
      <c r="J178">
        <v>20</v>
      </c>
      <c r="K178">
        <v>20</v>
      </c>
      <c r="L178" s="1">
        <f t="shared" si="22"/>
        <v>20000</v>
      </c>
      <c r="M178" t="s">
        <v>600</v>
      </c>
      <c r="N178">
        <v>1</v>
      </c>
      <c r="O178" t="str">
        <f t="shared" si="23"/>
        <v>722</v>
      </c>
      <c r="P178" t="s">
        <v>39</v>
      </c>
      <c r="Q178" t="s">
        <v>37</v>
      </c>
      <c r="R178" t="s">
        <v>31</v>
      </c>
      <c r="S178" t="s">
        <v>28</v>
      </c>
      <c r="T178" t="str">
        <f>"20372035"</f>
        <v>20372035</v>
      </c>
      <c r="U178" t="s">
        <v>601</v>
      </c>
      <c r="V178" t="s">
        <v>602</v>
      </c>
    </row>
    <row r="179" spans="1:22" x14ac:dyDescent="0.25">
      <c r="A179" t="str">
        <f t="shared" si="18"/>
        <v>10807</v>
      </c>
      <c r="B179" t="s">
        <v>22</v>
      </c>
      <c r="C179" t="s">
        <v>23</v>
      </c>
      <c r="D179" s="1" t="s">
        <v>599</v>
      </c>
      <c r="E179" t="s">
        <v>25</v>
      </c>
      <c r="F179" t="s">
        <v>26</v>
      </c>
      <c r="G179" t="str">
        <f t="shared" si="19"/>
        <v>37</v>
      </c>
      <c r="H179" t="str">
        <f t="shared" si="24"/>
        <v>11</v>
      </c>
      <c r="I179" t="s">
        <v>27</v>
      </c>
      <c r="J179">
        <v>20</v>
      </c>
      <c r="K179">
        <v>20</v>
      </c>
      <c r="L179" s="1">
        <f t="shared" si="22"/>
        <v>20000</v>
      </c>
      <c r="M179" t="s">
        <v>603</v>
      </c>
      <c r="N179">
        <v>1</v>
      </c>
      <c r="O179" t="str">
        <f t="shared" si="23"/>
        <v>722</v>
      </c>
      <c r="P179" t="s">
        <v>30</v>
      </c>
      <c r="Q179" t="s">
        <v>27</v>
      </c>
      <c r="R179" t="s">
        <v>31</v>
      </c>
      <c r="S179" t="s">
        <v>28</v>
      </c>
      <c r="T179" t="str">
        <f>"74873612"</f>
        <v>74873612</v>
      </c>
      <c r="U179" t="s">
        <v>604</v>
      </c>
      <c r="V179" t="s">
        <v>605</v>
      </c>
    </row>
    <row r="180" spans="1:22" x14ac:dyDescent="0.25">
      <c r="A180" t="str">
        <f t="shared" si="18"/>
        <v>10807</v>
      </c>
      <c r="B180" t="s">
        <v>22</v>
      </c>
      <c r="C180" t="s">
        <v>23</v>
      </c>
      <c r="D180" s="1" t="s">
        <v>599</v>
      </c>
      <c r="E180" t="s">
        <v>25</v>
      </c>
      <c r="F180" t="s">
        <v>26</v>
      </c>
      <c r="G180" t="str">
        <f t="shared" si="19"/>
        <v>37</v>
      </c>
      <c r="H180" t="str">
        <f t="shared" si="24"/>
        <v>11</v>
      </c>
      <c r="I180" t="s">
        <v>37</v>
      </c>
      <c r="J180">
        <v>30</v>
      </c>
      <c r="K180">
        <v>30</v>
      </c>
      <c r="L180" s="1">
        <f t="shared" si="22"/>
        <v>30000</v>
      </c>
      <c r="M180" t="s">
        <v>606</v>
      </c>
      <c r="N180">
        <v>1</v>
      </c>
      <c r="O180" t="str">
        <f t="shared" si="23"/>
        <v>722</v>
      </c>
      <c r="P180" t="s">
        <v>39</v>
      </c>
      <c r="Q180" t="s">
        <v>37</v>
      </c>
      <c r="R180" t="s">
        <v>31</v>
      </c>
      <c r="S180" t="s">
        <v>28</v>
      </c>
      <c r="T180" t="str">
        <f>"41468633"</f>
        <v>41468633</v>
      </c>
      <c r="U180" t="s">
        <v>607</v>
      </c>
      <c r="V180" t="s">
        <v>608</v>
      </c>
    </row>
    <row r="181" spans="1:22" x14ac:dyDescent="0.25">
      <c r="A181" t="str">
        <f t="shared" si="18"/>
        <v>10807</v>
      </c>
      <c r="B181" t="s">
        <v>22</v>
      </c>
      <c r="C181" t="s">
        <v>23</v>
      </c>
      <c r="D181" s="1" t="s">
        <v>599</v>
      </c>
      <c r="E181" t="s">
        <v>25</v>
      </c>
      <c r="F181" t="s">
        <v>26</v>
      </c>
      <c r="G181" t="str">
        <f t="shared" si="19"/>
        <v>37</v>
      </c>
      <c r="H181" t="str">
        <f t="shared" si="24"/>
        <v>11</v>
      </c>
      <c r="I181" t="s">
        <v>27</v>
      </c>
      <c r="J181">
        <v>20</v>
      </c>
      <c r="K181">
        <v>20</v>
      </c>
      <c r="L181" s="1">
        <f t="shared" si="22"/>
        <v>20000</v>
      </c>
      <c r="M181" t="s">
        <v>609</v>
      </c>
      <c r="N181">
        <v>1</v>
      </c>
      <c r="O181" t="str">
        <f t="shared" si="23"/>
        <v>722</v>
      </c>
      <c r="P181" t="s">
        <v>30</v>
      </c>
      <c r="Q181" t="s">
        <v>27</v>
      </c>
      <c r="R181" t="s">
        <v>31</v>
      </c>
      <c r="S181" t="s">
        <v>28</v>
      </c>
      <c r="T181" t="str">
        <f>"95834988"</f>
        <v>95834988</v>
      </c>
      <c r="U181" t="s">
        <v>610</v>
      </c>
      <c r="V181" t="s">
        <v>611</v>
      </c>
    </row>
    <row r="182" spans="1:22" x14ac:dyDescent="0.25">
      <c r="A182" t="str">
        <f t="shared" si="18"/>
        <v>10807</v>
      </c>
      <c r="B182" t="s">
        <v>22</v>
      </c>
      <c r="C182" t="s">
        <v>23</v>
      </c>
      <c r="D182" s="1" t="s">
        <v>612</v>
      </c>
      <c r="E182" t="s">
        <v>25</v>
      </c>
      <c r="F182" t="s">
        <v>26</v>
      </c>
      <c r="G182" t="str">
        <f t="shared" si="19"/>
        <v>37</v>
      </c>
      <c r="H182" t="str">
        <f t="shared" si="24"/>
        <v>11</v>
      </c>
      <c r="I182" t="s">
        <v>37</v>
      </c>
      <c r="J182">
        <v>20</v>
      </c>
      <c r="K182">
        <v>20</v>
      </c>
      <c r="L182" s="1">
        <f t="shared" si="22"/>
        <v>20000</v>
      </c>
      <c r="M182" t="s">
        <v>613</v>
      </c>
      <c r="N182">
        <v>1</v>
      </c>
      <c r="O182" t="str">
        <f t="shared" si="23"/>
        <v>722</v>
      </c>
      <c r="P182" t="s">
        <v>39</v>
      </c>
      <c r="Q182" t="s">
        <v>37</v>
      </c>
      <c r="R182" t="s">
        <v>31</v>
      </c>
      <c r="S182" t="s">
        <v>28</v>
      </c>
      <c r="T182" t="str">
        <f>"19300219"</f>
        <v>19300219</v>
      </c>
      <c r="U182" t="s">
        <v>614</v>
      </c>
      <c r="V182" t="s">
        <v>615</v>
      </c>
    </row>
    <row r="183" spans="1:22" x14ac:dyDescent="0.25">
      <c r="A183" t="str">
        <f t="shared" si="18"/>
        <v>10807</v>
      </c>
      <c r="B183" t="s">
        <v>22</v>
      </c>
      <c r="C183" t="s">
        <v>23</v>
      </c>
      <c r="D183" s="1" t="s">
        <v>612</v>
      </c>
      <c r="E183" t="s">
        <v>25</v>
      </c>
      <c r="F183" t="s">
        <v>26</v>
      </c>
      <c r="G183" t="str">
        <f t="shared" si="19"/>
        <v>37</v>
      </c>
      <c r="H183" t="str">
        <f t="shared" si="24"/>
        <v>11</v>
      </c>
      <c r="I183" t="s">
        <v>27</v>
      </c>
      <c r="J183">
        <v>20</v>
      </c>
      <c r="K183">
        <v>20</v>
      </c>
      <c r="L183" s="1">
        <f t="shared" si="22"/>
        <v>20000</v>
      </c>
      <c r="M183" t="s">
        <v>616</v>
      </c>
      <c r="N183">
        <v>1</v>
      </c>
      <c r="O183" t="str">
        <f t="shared" si="23"/>
        <v>722</v>
      </c>
      <c r="P183" t="s">
        <v>30</v>
      </c>
      <c r="Q183" t="s">
        <v>27</v>
      </c>
      <c r="R183" t="s">
        <v>31</v>
      </c>
      <c r="S183" t="s">
        <v>28</v>
      </c>
      <c r="T183" t="str">
        <f>"17721729"</f>
        <v>17721729</v>
      </c>
      <c r="U183" t="s">
        <v>617</v>
      </c>
      <c r="V183" t="s">
        <v>618</v>
      </c>
    </row>
    <row r="184" spans="1:22" x14ac:dyDescent="0.25">
      <c r="A184" t="str">
        <f t="shared" si="18"/>
        <v>10807</v>
      </c>
      <c r="B184" t="s">
        <v>22</v>
      </c>
      <c r="C184" t="s">
        <v>23</v>
      </c>
      <c r="D184" s="1" t="s">
        <v>612</v>
      </c>
      <c r="E184" t="s">
        <v>25</v>
      </c>
      <c r="F184" t="s">
        <v>26</v>
      </c>
      <c r="G184" t="str">
        <f t="shared" si="19"/>
        <v>37</v>
      </c>
      <c r="H184" t="str">
        <f t="shared" si="24"/>
        <v>11</v>
      </c>
      <c r="I184" t="s">
        <v>27</v>
      </c>
      <c r="J184">
        <v>20</v>
      </c>
      <c r="K184">
        <v>20</v>
      </c>
      <c r="L184" s="1">
        <f t="shared" si="22"/>
        <v>20000</v>
      </c>
      <c r="M184" t="s">
        <v>619</v>
      </c>
      <c r="N184">
        <v>1</v>
      </c>
      <c r="O184" t="str">
        <f t="shared" si="23"/>
        <v>722</v>
      </c>
      <c r="P184" t="s">
        <v>30</v>
      </c>
      <c r="Q184" t="s">
        <v>27</v>
      </c>
      <c r="R184" t="s">
        <v>31</v>
      </c>
      <c r="S184" t="s">
        <v>28</v>
      </c>
      <c r="T184" t="str">
        <f>"10425667"</f>
        <v>10425667</v>
      </c>
      <c r="U184" t="s">
        <v>620</v>
      </c>
      <c r="V184" t="s">
        <v>621</v>
      </c>
    </row>
    <row r="185" spans="1:22" x14ac:dyDescent="0.25">
      <c r="A185" t="str">
        <f t="shared" si="18"/>
        <v>10807</v>
      </c>
      <c r="B185" t="s">
        <v>22</v>
      </c>
      <c r="C185" t="s">
        <v>23</v>
      </c>
      <c r="D185" s="1" t="s">
        <v>612</v>
      </c>
      <c r="E185" t="s">
        <v>25</v>
      </c>
      <c r="F185" t="s">
        <v>26</v>
      </c>
      <c r="G185" t="str">
        <f t="shared" si="19"/>
        <v>37</v>
      </c>
      <c r="H185" t="str">
        <f t="shared" si="24"/>
        <v>11</v>
      </c>
      <c r="I185" t="s">
        <v>37</v>
      </c>
      <c r="J185">
        <v>20</v>
      </c>
      <c r="K185">
        <v>20</v>
      </c>
      <c r="L185" s="1">
        <f t="shared" si="22"/>
        <v>20000</v>
      </c>
      <c r="M185" t="s">
        <v>622</v>
      </c>
      <c r="N185">
        <v>1</v>
      </c>
      <c r="O185" t="str">
        <f t="shared" si="23"/>
        <v>722</v>
      </c>
      <c r="P185" t="s">
        <v>39</v>
      </c>
      <c r="Q185" t="s">
        <v>37</v>
      </c>
      <c r="R185" t="s">
        <v>31</v>
      </c>
      <c r="S185" t="s">
        <v>28</v>
      </c>
      <c r="T185" t="str">
        <f>"47917159"</f>
        <v>47917159</v>
      </c>
      <c r="U185" t="s">
        <v>623</v>
      </c>
      <c r="V185" t="s">
        <v>624</v>
      </c>
    </row>
    <row r="186" spans="1:22" x14ac:dyDescent="0.25">
      <c r="A186" t="str">
        <f t="shared" si="18"/>
        <v>10807</v>
      </c>
      <c r="B186" t="s">
        <v>22</v>
      </c>
      <c r="C186" t="s">
        <v>23</v>
      </c>
      <c r="D186" s="1" t="s">
        <v>625</v>
      </c>
      <c r="E186" t="s">
        <v>25</v>
      </c>
      <c r="F186" t="s">
        <v>26</v>
      </c>
      <c r="G186" t="str">
        <f t="shared" si="19"/>
        <v>37</v>
      </c>
      <c r="H186" t="str">
        <f t="shared" si="24"/>
        <v>11</v>
      </c>
      <c r="I186" t="s">
        <v>37</v>
      </c>
      <c r="J186">
        <v>30</v>
      </c>
      <c r="K186">
        <v>30</v>
      </c>
      <c r="L186" s="1">
        <f t="shared" si="22"/>
        <v>30000</v>
      </c>
      <c r="M186" t="s">
        <v>626</v>
      </c>
      <c r="N186">
        <v>1</v>
      </c>
      <c r="O186" t="str">
        <f t="shared" si="23"/>
        <v>722</v>
      </c>
      <c r="P186" t="s">
        <v>39</v>
      </c>
      <c r="Q186" t="s">
        <v>37</v>
      </c>
      <c r="R186" t="s">
        <v>31</v>
      </c>
      <c r="S186" t="s">
        <v>28</v>
      </c>
      <c r="T186" t="str">
        <f>"99033572"</f>
        <v>99033572</v>
      </c>
      <c r="U186" t="s">
        <v>627</v>
      </c>
      <c r="V186" t="s">
        <v>628</v>
      </c>
    </row>
    <row r="187" spans="1:22" x14ac:dyDescent="0.25">
      <c r="A187" t="str">
        <f t="shared" si="18"/>
        <v>10807</v>
      </c>
      <c r="B187" t="s">
        <v>22</v>
      </c>
      <c r="C187" t="s">
        <v>23</v>
      </c>
      <c r="D187" s="1" t="s">
        <v>625</v>
      </c>
      <c r="E187" t="s">
        <v>25</v>
      </c>
      <c r="F187" t="s">
        <v>26</v>
      </c>
      <c r="G187" t="str">
        <f t="shared" si="19"/>
        <v>37</v>
      </c>
      <c r="H187" t="str">
        <f t="shared" si="24"/>
        <v>11</v>
      </c>
      <c r="I187" t="s">
        <v>37</v>
      </c>
      <c r="J187">
        <v>30</v>
      </c>
      <c r="K187">
        <v>30</v>
      </c>
      <c r="L187" s="1">
        <f t="shared" si="22"/>
        <v>30000</v>
      </c>
      <c r="M187" t="s">
        <v>629</v>
      </c>
      <c r="N187">
        <v>1</v>
      </c>
      <c r="O187" t="str">
        <f t="shared" si="23"/>
        <v>722</v>
      </c>
      <c r="P187" t="s">
        <v>39</v>
      </c>
      <c r="Q187" t="s">
        <v>37</v>
      </c>
      <c r="R187" t="s">
        <v>31</v>
      </c>
      <c r="S187" t="s">
        <v>28</v>
      </c>
      <c r="T187" t="str">
        <f>"34927768"</f>
        <v>34927768</v>
      </c>
      <c r="U187" t="s">
        <v>630</v>
      </c>
      <c r="V187" t="s">
        <v>631</v>
      </c>
    </row>
    <row r="188" spans="1:22" x14ac:dyDescent="0.25">
      <c r="A188" t="str">
        <f t="shared" si="18"/>
        <v>10807</v>
      </c>
      <c r="B188" t="s">
        <v>22</v>
      </c>
      <c r="C188" t="s">
        <v>23</v>
      </c>
      <c r="D188" s="1" t="s">
        <v>625</v>
      </c>
      <c r="E188" t="s">
        <v>25</v>
      </c>
      <c r="F188" t="s">
        <v>26</v>
      </c>
      <c r="G188" t="str">
        <f t="shared" si="19"/>
        <v>37</v>
      </c>
      <c r="H188" t="str">
        <f t="shared" si="24"/>
        <v>11</v>
      </c>
      <c r="I188" t="s">
        <v>37</v>
      </c>
      <c r="J188">
        <v>19.95</v>
      </c>
      <c r="K188">
        <v>19.95</v>
      </c>
      <c r="L188" s="1">
        <f t="shared" si="22"/>
        <v>19950</v>
      </c>
      <c r="M188" t="s">
        <v>632</v>
      </c>
      <c r="N188">
        <v>1</v>
      </c>
      <c r="O188" t="str">
        <f t="shared" si="23"/>
        <v>722</v>
      </c>
      <c r="P188" t="s">
        <v>39</v>
      </c>
      <c r="Q188" t="s">
        <v>37</v>
      </c>
      <c r="R188" t="s">
        <v>31</v>
      </c>
      <c r="S188" t="s">
        <v>28</v>
      </c>
      <c r="T188" t="str">
        <f>"72494740"</f>
        <v>72494740</v>
      </c>
      <c r="U188" t="s">
        <v>633</v>
      </c>
      <c r="V188" t="s">
        <v>634</v>
      </c>
    </row>
    <row r="189" spans="1:22" x14ac:dyDescent="0.25">
      <c r="A189" t="str">
        <f t="shared" si="18"/>
        <v>10807</v>
      </c>
      <c r="B189" t="s">
        <v>22</v>
      </c>
      <c r="C189" t="s">
        <v>23</v>
      </c>
      <c r="D189" s="1" t="s">
        <v>625</v>
      </c>
      <c r="E189" t="s">
        <v>25</v>
      </c>
      <c r="F189" t="s">
        <v>26</v>
      </c>
      <c r="G189" t="str">
        <f t="shared" si="19"/>
        <v>37</v>
      </c>
      <c r="H189" t="str">
        <f t="shared" si="24"/>
        <v>11</v>
      </c>
      <c r="I189" t="s">
        <v>27</v>
      </c>
      <c r="J189">
        <v>20</v>
      </c>
      <c r="K189">
        <v>20</v>
      </c>
      <c r="L189" s="1">
        <f t="shared" si="22"/>
        <v>20000</v>
      </c>
      <c r="M189" t="s">
        <v>635</v>
      </c>
      <c r="N189">
        <v>1</v>
      </c>
      <c r="O189" t="str">
        <f t="shared" ref="O189:O215" si="25">"722"</f>
        <v>722</v>
      </c>
      <c r="P189" t="s">
        <v>30</v>
      </c>
      <c r="Q189" t="s">
        <v>27</v>
      </c>
      <c r="R189" t="s">
        <v>31</v>
      </c>
      <c r="S189" t="s">
        <v>28</v>
      </c>
      <c r="T189" t="str">
        <f>"36771662"</f>
        <v>36771662</v>
      </c>
      <c r="U189" t="s">
        <v>636</v>
      </c>
      <c r="V189" t="s">
        <v>637</v>
      </c>
    </row>
    <row r="190" spans="1:22" x14ac:dyDescent="0.25">
      <c r="A190" t="str">
        <f t="shared" si="18"/>
        <v>10807</v>
      </c>
      <c r="B190" t="s">
        <v>22</v>
      </c>
      <c r="C190" t="s">
        <v>23</v>
      </c>
      <c r="D190" s="1" t="s">
        <v>638</v>
      </c>
      <c r="E190" t="s">
        <v>25</v>
      </c>
      <c r="F190" t="s">
        <v>26</v>
      </c>
      <c r="G190" t="str">
        <f t="shared" si="19"/>
        <v>37</v>
      </c>
      <c r="H190" t="str">
        <f t="shared" si="24"/>
        <v>11</v>
      </c>
      <c r="I190" t="s">
        <v>37</v>
      </c>
      <c r="J190">
        <v>26.311</v>
      </c>
      <c r="K190">
        <v>26.311</v>
      </c>
      <c r="L190" s="1">
        <f t="shared" si="22"/>
        <v>26311</v>
      </c>
      <c r="M190" t="s">
        <v>639</v>
      </c>
      <c r="N190">
        <v>1</v>
      </c>
      <c r="O190" t="str">
        <f t="shared" si="25"/>
        <v>722</v>
      </c>
      <c r="P190" t="s">
        <v>39</v>
      </c>
      <c r="Q190" t="s">
        <v>37</v>
      </c>
      <c r="R190" t="s">
        <v>31</v>
      </c>
      <c r="S190" t="s">
        <v>28</v>
      </c>
      <c r="T190" t="str">
        <f>"26421929"</f>
        <v>26421929</v>
      </c>
      <c r="U190" t="s">
        <v>640</v>
      </c>
      <c r="V190" t="s">
        <v>641</v>
      </c>
    </row>
    <row r="191" spans="1:22" x14ac:dyDescent="0.25">
      <c r="A191" t="str">
        <f t="shared" ref="A191:A253" si="26">"10807"</f>
        <v>10807</v>
      </c>
      <c r="B191" t="s">
        <v>22</v>
      </c>
      <c r="C191" t="s">
        <v>23</v>
      </c>
      <c r="D191" s="1" t="s">
        <v>638</v>
      </c>
      <c r="E191" t="s">
        <v>25</v>
      </c>
      <c r="F191" t="s">
        <v>26</v>
      </c>
      <c r="G191" t="str">
        <f t="shared" ref="G191:G253" si="27">"37"</f>
        <v>37</v>
      </c>
      <c r="H191" t="str">
        <f t="shared" si="24"/>
        <v>11</v>
      </c>
      <c r="I191" t="s">
        <v>27</v>
      </c>
      <c r="J191">
        <v>30</v>
      </c>
      <c r="K191">
        <v>30</v>
      </c>
      <c r="L191" s="1">
        <f t="shared" si="22"/>
        <v>30000</v>
      </c>
      <c r="M191" t="s">
        <v>642</v>
      </c>
      <c r="N191">
        <v>1</v>
      </c>
      <c r="O191" t="str">
        <f t="shared" si="25"/>
        <v>722</v>
      </c>
      <c r="P191" t="s">
        <v>30</v>
      </c>
      <c r="Q191" t="s">
        <v>27</v>
      </c>
      <c r="R191" t="s">
        <v>31</v>
      </c>
      <c r="S191" t="s">
        <v>28</v>
      </c>
      <c r="T191" t="str">
        <f>"30338058"</f>
        <v>30338058</v>
      </c>
      <c r="U191" t="s">
        <v>643</v>
      </c>
      <c r="V191" t="s">
        <v>644</v>
      </c>
    </row>
    <row r="192" spans="1:22" x14ac:dyDescent="0.25">
      <c r="A192" t="str">
        <f t="shared" si="26"/>
        <v>10807</v>
      </c>
      <c r="B192" t="s">
        <v>22</v>
      </c>
      <c r="C192" t="s">
        <v>23</v>
      </c>
      <c r="D192" s="1" t="s">
        <v>638</v>
      </c>
      <c r="E192" t="s">
        <v>25</v>
      </c>
      <c r="F192" t="s">
        <v>26</v>
      </c>
      <c r="G192" t="str">
        <f t="shared" si="27"/>
        <v>37</v>
      </c>
      <c r="H192" t="str">
        <f t="shared" si="24"/>
        <v>11</v>
      </c>
      <c r="I192" t="s">
        <v>37</v>
      </c>
      <c r="J192">
        <v>70</v>
      </c>
      <c r="K192">
        <v>70</v>
      </c>
      <c r="L192" s="1">
        <f t="shared" si="22"/>
        <v>70000</v>
      </c>
      <c r="M192" t="s">
        <v>645</v>
      </c>
      <c r="N192">
        <v>1</v>
      </c>
      <c r="O192" t="str">
        <f t="shared" si="25"/>
        <v>722</v>
      </c>
      <c r="P192" t="s">
        <v>39</v>
      </c>
      <c r="Q192" t="s">
        <v>37</v>
      </c>
      <c r="R192" t="s">
        <v>31</v>
      </c>
      <c r="S192" t="s">
        <v>28</v>
      </c>
      <c r="T192" t="str">
        <f>"09513852"</f>
        <v>09513852</v>
      </c>
      <c r="U192" t="s">
        <v>646</v>
      </c>
      <c r="V192" t="s">
        <v>647</v>
      </c>
    </row>
    <row r="193" spans="1:22" x14ac:dyDescent="0.25">
      <c r="A193" t="str">
        <f t="shared" si="26"/>
        <v>10807</v>
      </c>
      <c r="B193" t="s">
        <v>22</v>
      </c>
      <c r="C193" t="s">
        <v>23</v>
      </c>
      <c r="D193" s="1" t="s">
        <v>638</v>
      </c>
      <c r="E193" t="s">
        <v>25</v>
      </c>
      <c r="F193" t="s">
        <v>26</v>
      </c>
      <c r="G193" t="str">
        <f t="shared" si="27"/>
        <v>37</v>
      </c>
      <c r="H193" t="str">
        <f t="shared" si="24"/>
        <v>11</v>
      </c>
      <c r="I193" t="s">
        <v>27</v>
      </c>
      <c r="J193">
        <v>20</v>
      </c>
      <c r="K193">
        <v>20</v>
      </c>
      <c r="L193" s="1">
        <f t="shared" si="22"/>
        <v>20000</v>
      </c>
      <c r="M193" t="s">
        <v>648</v>
      </c>
      <c r="N193">
        <v>1</v>
      </c>
      <c r="O193" t="str">
        <f t="shared" si="25"/>
        <v>722</v>
      </c>
      <c r="P193" t="s">
        <v>30</v>
      </c>
      <c r="Q193" t="s">
        <v>27</v>
      </c>
      <c r="R193" t="s">
        <v>31</v>
      </c>
      <c r="S193" t="s">
        <v>28</v>
      </c>
      <c r="T193" t="str">
        <f>"10117845"</f>
        <v>10117845</v>
      </c>
      <c r="U193" t="s">
        <v>649</v>
      </c>
      <c r="V193" t="s">
        <v>650</v>
      </c>
    </row>
    <row r="194" spans="1:22" x14ac:dyDescent="0.25">
      <c r="A194" t="str">
        <f t="shared" si="26"/>
        <v>10807</v>
      </c>
      <c r="B194" t="s">
        <v>22</v>
      </c>
      <c r="C194" t="s">
        <v>23</v>
      </c>
      <c r="D194" s="1" t="s">
        <v>651</v>
      </c>
      <c r="E194" t="s">
        <v>25</v>
      </c>
      <c r="F194" t="s">
        <v>26</v>
      </c>
      <c r="G194" t="str">
        <f t="shared" si="27"/>
        <v>37</v>
      </c>
      <c r="H194" t="str">
        <f t="shared" si="24"/>
        <v>11</v>
      </c>
      <c r="I194" t="s">
        <v>27</v>
      </c>
      <c r="J194">
        <v>100</v>
      </c>
      <c r="K194">
        <v>100</v>
      </c>
      <c r="L194" s="1">
        <f t="shared" si="22"/>
        <v>100000</v>
      </c>
      <c r="M194" t="s">
        <v>652</v>
      </c>
      <c r="N194">
        <v>1</v>
      </c>
      <c r="O194" t="str">
        <f t="shared" si="25"/>
        <v>722</v>
      </c>
      <c r="P194" t="s">
        <v>30</v>
      </c>
      <c r="Q194" t="s">
        <v>27</v>
      </c>
      <c r="R194" t="s">
        <v>31</v>
      </c>
      <c r="S194" t="s">
        <v>28</v>
      </c>
      <c r="T194" t="str">
        <f>"99483160"</f>
        <v>99483160</v>
      </c>
      <c r="U194" t="s">
        <v>653</v>
      </c>
      <c r="V194" t="s">
        <v>654</v>
      </c>
    </row>
    <row r="195" spans="1:22" x14ac:dyDescent="0.25">
      <c r="A195" t="str">
        <f t="shared" si="26"/>
        <v>10807</v>
      </c>
      <c r="B195" t="s">
        <v>22</v>
      </c>
      <c r="C195" t="s">
        <v>23</v>
      </c>
      <c r="D195" s="1" t="s">
        <v>2666</v>
      </c>
      <c r="E195" t="s">
        <v>25</v>
      </c>
      <c r="F195" t="s">
        <v>26</v>
      </c>
      <c r="G195" t="str">
        <f t="shared" si="27"/>
        <v>37</v>
      </c>
      <c r="H195" t="str">
        <f t="shared" si="24"/>
        <v>11</v>
      </c>
      <c r="I195" t="s">
        <v>37</v>
      </c>
      <c r="J195">
        <v>20</v>
      </c>
      <c r="K195">
        <v>20</v>
      </c>
      <c r="L195" s="1">
        <f t="shared" si="22"/>
        <v>20000</v>
      </c>
      <c r="M195" t="s">
        <v>655</v>
      </c>
      <c r="N195">
        <v>1</v>
      </c>
      <c r="O195" t="str">
        <f t="shared" si="25"/>
        <v>722</v>
      </c>
      <c r="P195" t="s">
        <v>39</v>
      </c>
      <c r="Q195" t="s">
        <v>37</v>
      </c>
      <c r="R195" t="s">
        <v>31</v>
      </c>
      <c r="S195" t="s">
        <v>28</v>
      </c>
      <c r="T195" t="str">
        <f>"25476235"</f>
        <v>25476235</v>
      </c>
      <c r="U195" t="s">
        <v>656</v>
      </c>
      <c r="V195" t="s">
        <v>657</v>
      </c>
    </row>
    <row r="196" spans="1:22" x14ac:dyDescent="0.25">
      <c r="A196" t="str">
        <f t="shared" si="26"/>
        <v>10807</v>
      </c>
      <c r="B196" t="s">
        <v>22</v>
      </c>
      <c r="C196" t="s">
        <v>23</v>
      </c>
      <c r="D196" s="1" t="s">
        <v>658</v>
      </c>
      <c r="E196" t="s">
        <v>25</v>
      </c>
      <c r="F196" t="s">
        <v>26</v>
      </c>
      <c r="G196" t="str">
        <f t="shared" si="27"/>
        <v>37</v>
      </c>
      <c r="H196" t="str">
        <f t="shared" si="24"/>
        <v>11</v>
      </c>
      <c r="I196" t="s">
        <v>27</v>
      </c>
      <c r="J196">
        <v>300</v>
      </c>
      <c r="K196">
        <v>300</v>
      </c>
      <c r="L196" s="1">
        <f t="shared" si="22"/>
        <v>300000</v>
      </c>
      <c r="M196" t="s">
        <v>659</v>
      </c>
      <c r="N196">
        <v>1</v>
      </c>
      <c r="O196" t="str">
        <f t="shared" si="25"/>
        <v>722</v>
      </c>
      <c r="P196" t="s">
        <v>30</v>
      </c>
      <c r="Q196" t="s">
        <v>27</v>
      </c>
      <c r="R196" t="s">
        <v>31</v>
      </c>
      <c r="S196" t="s">
        <v>28</v>
      </c>
      <c r="T196" t="str">
        <f>"36975574"</f>
        <v>36975574</v>
      </c>
      <c r="U196" t="s">
        <v>660</v>
      </c>
      <c r="V196" t="s">
        <v>661</v>
      </c>
    </row>
    <row r="197" spans="1:22" x14ac:dyDescent="0.25">
      <c r="A197" t="str">
        <f t="shared" si="26"/>
        <v>10807</v>
      </c>
      <c r="B197" t="s">
        <v>22</v>
      </c>
      <c r="C197" t="s">
        <v>23</v>
      </c>
      <c r="D197" s="1" t="s">
        <v>658</v>
      </c>
      <c r="E197" t="s">
        <v>25</v>
      </c>
      <c r="F197" t="s">
        <v>26</v>
      </c>
      <c r="G197" t="str">
        <f t="shared" si="27"/>
        <v>37</v>
      </c>
      <c r="H197" t="str">
        <f t="shared" si="24"/>
        <v>11</v>
      </c>
      <c r="I197" t="s">
        <v>27</v>
      </c>
      <c r="J197">
        <v>20</v>
      </c>
      <c r="K197">
        <v>20</v>
      </c>
      <c r="L197" s="1">
        <f t="shared" si="22"/>
        <v>20000</v>
      </c>
      <c r="M197" t="s">
        <v>662</v>
      </c>
      <c r="N197">
        <v>1</v>
      </c>
      <c r="O197" t="str">
        <f t="shared" si="25"/>
        <v>722</v>
      </c>
      <c r="P197" t="s">
        <v>30</v>
      </c>
      <c r="Q197" t="s">
        <v>27</v>
      </c>
      <c r="R197" t="s">
        <v>31</v>
      </c>
      <c r="S197" t="s">
        <v>28</v>
      </c>
      <c r="T197" t="str">
        <f>"17715199"</f>
        <v>17715199</v>
      </c>
      <c r="U197" t="s">
        <v>663</v>
      </c>
      <c r="V197" t="s">
        <v>664</v>
      </c>
    </row>
    <row r="198" spans="1:22" x14ac:dyDescent="0.25">
      <c r="A198" t="str">
        <f t="shared" si="26"/>
        <v>10807</v>
      </c>
      <c r="B198" t="s">
        <v>22</v>
      </c>
      <c r="C198" t="s">
        <v>23</v>
      </c>
      <c r="D198" s="1" t="s">
        <v>658</v>
      </c>
      <c r="E198" t="s">
        <v>25</v>
      </c>
      <c r="F198" t="s">
        <v>26</v>
      </c>
      <c r="G198" t="str">
        <f t="shared" si="27"/>
        <v>37</v>
      </c>
      <c r="H198" t="str">
        <f t="shared" si="24"/>
        <v>11</v>
      </c>
      <c r="I198" t="s">
        <v>27</v>
      </c>
      <c r="J198">
        <v>20</v>
      </c>
      <c r="K198">
        <v>20</v>
      </c>
      <c r="L198" s="1">
        <f t="shared" si="22"/>
        <v>20000</v>
      </c>
      <c r="M198" t="s">
        <v>665</v>
      </c>
      <c r="N198">
        <v>1</v>
      </c>
      <c r="O198" t="str">
        <f t="shared" si="25"/>
        <v>722</v>
      </c>
      <c r="P198" t="s">
        <v>30</v>
      </c>
      <c r="Q198" t="s">
        <v>27</v>
      </c>
      <c r="R198" t="s">
        <v>31</v>
      </c>
      <c r="S198" t="s">
        <v>28</v>
      </c>
      <c r="T198" t="str">
        <f>"08848893"</f>
        <v>08848893</v>
      </c>
      <c r="U198" t="s">
        <v>666</v>
      </c>
      <c r="V198" t="s">
        <v>667</v>
      </c>
    </row>
    <row r="199" spans="1:22" x14ac:dyDescent="0.25">
      <c r="A199" t="str">
        <f t="shared" si="26"/>
        <v>10807</v>
      </c>
      <c r="B199" t="s">
        <v>22</v>
      </c>
      <c r="C199" t="s">
        <v>23</v>
      </c>
      <c r="D199" s="1" t="s">
        <v>658</v>
      </c>
      <c r="E199" t="s">
        <v>25</v>
      </c>
      <c r="F199" t="s">
        <v>26</v>
      </c>
      <c r="G199" t="str">
        <f t="shared" si="27"/>
        <v>37</v>
      </c>
      <c r="H199" t="str">
        <f t="shared" si="24"/>
        <v>11</v>
      </c>
      <c r="I199" t="s">
        <v>37</v>
      </c>
      <c r="J199">
        <v>20</v>
      </c>
      <c r="K199">
        <v>20</v>
      </c>
      <c r="L199" s="1">
        <f t="shared" si="22"/>
        <v>20000</v>
      </c>
      <c r="M199" t="s">
        <v>668</v>
      </c>
      <c r="N199">
        <v>1</v>
      </c>
      <c r="O199" t="str">
        <f t="shared" si="25"/>
        <v>722</v>
      </c>
      <c r="P199" t="s">
        <v>39</v>
      </c>
      <c r="Q199" t="s">
        <v>37</v>
      </c>
      <c r="R199" t="s">
        <v>31</v>
      </c>
      <c r="S199" t="s">
        <v>28</v>
      </c>
      <c r="T199" t="str">
        <f>"45373530"</f>
        <v>45373530</v>
      </c>
      <c r="U199" t="s">
        <v>669</v>
      </c>
      <c r="V199" t="s">
        <v>670</v>
      </c>
    </row>
    <row r="200" spans="1:22" x14ac:dyDescent="0.25">
      <c r="A200" t="str">
        <f t="shared" si="26"/>
        <v>10807</v>
      </c>
      <c r="B200" t="s">
        <v>22</v>
      </c>
      <c r="C200" t="s">
        <v>23</v>
      </c>
      <c r="D200" s="1" t="s">
        <v>671</v>
      </c>
      <c r="E200" t="s">
        <v>25</v>
      </c>
      <c r="F200" t="s">
        <v>26</v>
      </c>
      <c r="G200" t="str">
        <f t="shared" si="27"/>
        <v>37</v>
      </c>
      <c r="H200" t="str">
        <f t="shared" si="24"/>
        <v>11</v>
      </c>
      <c r="I200" t="s">
        <v>37</v>
      </c>
      <c r="J200">
        <v>10</v>
      </c>
      <c r="K200">
        <v>10</v>
      </c>
      <c r="L200" s="1">
        <f t="shared" si="22"/>
        <v>10000</v>
      </c>
      <c r="M200" t="s">
        <v>672</v>
      </c>
      <c r="N200">
        <v>1</v>
      </c>
      <c r="O200" t="str">
        <f t="shared" si="25"/>
        <v>722</v>
      </c>
      <c r="P200" t="s">
        <v>39</v>
      </c>
      <c r="Q200" t="s">
        <v>37</v>
      </c>
      <c r="R200" t="s">
        <v>31</v>
      </c>
      <c r="S200" t="s">
        <v>28</v>
      </c>
      <c r="T200" t="str">
        <f>"25451950"</f>
        <v>25451950</v>
      </c>
      <c r="U200" t="s">
        <v>673</v>
      </c>
      <c r="V200" t="s">
        <v>674</v>
      </c>
    </row>
    <row r="201" spans="1:22" x14ac:dyDescent="0.25">
      <c r="A201" t="str">
        <f t="shared" si="26"/>
        <v>10807</v>
      </c>
      <c r="B201" t="s">
        <v>22</v>
      </c>
      <c r="C201" t="s">
        <v>23</v>
      </c>
      <c r="D201" s="1" t="s">
        <v>671</v>
      </c>
      <c r="E201" t="s">
        <v>25</v>
      </c>
      <c r="F201" t="s">
        <v>26</v>
      </c>
      <c r="G201" t="str">
        <f t="shared" si="27"/>
        <v>37</v>
      </c>
      <c r="H201" t="str">
        <f t="shared" si="24"/>
        <v>11</v>
      </c>
      <c r="I201" t="s">
        <v>27</v>
      </c>
      <c r="J201">
        <v>20</v>
      </c>
      <c r="K201">
        <v>20</v>
      </c>
      <c r="L201" s="1">
        <f t="shared" si="22"/>
        <v>20000</v>
      </c>
      <c r="M201" t="s">
        <v>675</v>
      </c>
      <c r="N201">
        <v>1</v>
      </c>
      <c r="O201" t="str">
        <f t="shared" si="25"/>
        <v>722</v>
      </c>
      <c r="P201" t="s">
        <v>30</v>
      </c>
      <c r="Q201" t="s">
        <v>27</v>
      </c>
      <c r="R201" t="s">
        <v>31</v>
      </c>
      <c r="S201" t="s">
        <v>28</v>
      </c>
      <c r="T201" t="str">
        <f>"82208197"</f>
        <v>82208197</v>
      </c>
      <c r="U201" t="s">
        <v>676</v>
      </c>
      <c r="V201" t="s">
        <v>677</v>
      </c>
    </row>
    <row r="202" spans="1:22" x14ac:dyDescent="0.25">
      <c r="A202" t="str">
        <f t="shared" si="26"/>
        <v>10807</v>
      </c>
      <c r="B202" t="s">
        <v>22</v>
      </c>
      <c r="C202" t="s">
        <v>23</v>
      </c>
      <c r="D202" s="1" t="s">
        <v>671</v>
      </c>
      <c r="E202" t="s">
        <v>25</v>
      </c>
      <c r="F202" t="s">
        <v>26</v>
      </c>
      <c r="G202" t="str">
        <f t="shared" si="27"/>
        <v>37</v>
      </c>
      <c r="H202" t="str">
        <f t="shared" si="24"/>
        <v>11</v>
      </c>
      <c r="I202" t="s">
        <v>37</v>
      </c>
      <c r="J202">
        <v>30</v>
      </c>
      <c r="K202">
        <v>30</v>
      </c>
      <c r="L202" s="1">
        <f t="shared" si="22"/>
        <v>30000</v>
      </c>
      <c r="M202" t="s">
        <v>678</v>
      </c>
      <c r="N202">
        <v>1</v>
      </c>
      <c r="O202" t="str">
        <f t="shared" si="25"/>
        <v>722</v>
      </c>
      <c r="P202" t="s">
        <v>39</v>
      </c>
      <c r="Q202" t="s">
        <v>37</v>
      </c>
      <c r="R202" t="s">
        <v>31</v>
      </c>
      <c r="S202" t="s">
        <v>28</v>
      </c>
      <c r="T202" t="str">
        <f>"15749166"</f>
        <v>15749166</v>
      </c>
      <c r="U202" t="s">
        <v>679</v>
      </c>
      <c r="V202" t="s">
        <v>680</v>
      </c>
    </row>
    <row r="203" spans="1:22" x14ac:dyDescent="0.25">
      <c r="A203" t="str">
        <f t="shared" si="26"/>
        <v>10807</v>
      </c>
      <c r="B203" t="s">
        <v>22</v>
      </c>
      <c r="C203" t="s">
        <v>23</v>
      </c>
      <c r="D203" s="1" t="s">
        <v>671</v>
      </c>
      <c r="E203" t="s">
        <v>25</v>
      </c>
      <c r="F203" t="s">
        <v>26</v>
      </c>
      <c r="G203" t="str">
        <f t="shared" si="27"/>
        <v>37</v>
      </c>
      <c r="H203" t="str">
        <f t="shared" si="24"/>
        <v>11</v>
      </c>
      <c r="I203" t="s">
        <v>27</v>
      </c>
      <c r="J203">
        <v>50</v>
      </c>
      <c r="K203">
        <v>50</v>
      </c>
      <c r="L203" s="1">
        <f t="shared" si="22"/>
        <v>50000</v>
      </c>
      <c r="M203" t="s">
        <v>681</v>
      </c>
      <c r="N203">
        <v>1</v>
      </c>
      <c r="O203" t="str">
        <f t="shared" si="25"/>
        <v>722</v>
      </c>
      <c r="P203" t="s">
        <v>30</v>
      </c>
      <c r="Q203" t="s">
        <v>27</v>
      </c>
      <c r="R203" t="s">
        <v>31</v>
      </c>
      <c r="S203" t="s">
        <v>28</v>
      </c>
      <c r="T203" t="str">
        <f>"09190488"</f>
        <v>09190488</v>
      </c>
      <c r="U203" t="s">
        <v>682</v>
      </c>
      <c r="V203" t="s">
        <v>683</v>
      </c>
    </row>
    <row r="204" spans="1:22" x14ac:dyDescent="0.25">
      <c r="A204" t="str">
        <f t="shared" si="26"/>
        <v>10807</v>
      </c>
      <c r="B204" t="s">
        <v>22</v>
      </c>
      <c r="C204" t="s">
        <v>23</v>
      </c>
      <c r="D204" s="1" t="s">
        <v>684</v>
      </c>
      <c r="E204" t="s">
        <v>25</v>
      </c>
      <c r="F204" t="s">
        <v>26</v>
      </c>
      <c r="G204" t="str">
        <f t="shared" si="27"/>
        <v>37</v>
      </c>
      <c r="H204" t="str">
        <f t="shared" si="24"/>
        <v>11</v>
      </c>
      <c r="I204" t="s">
        <v>37</v>
      </c>
      <c r="J204">
        <v>150</v>
      </c>
      <c r="K204">
        <v>150</v>
      </c>
      <c r="L204" s="1">
        <f t="shared" si="22"/>
        <v>150000</v>
      </c>
      <c r="M204" t="s">
        <v>685</v>
      </c>
      <c r="N204">
        <v>1</v>
      </c>
      <c r="O204" t="str">
        <f t="shared" si="25"/>
        <v>722</v>
      </c>
      <c r="P204" t="s">
        <v>39</v>
      </c>
      <c r="Q204" t="s">
        <v>37</v>
      </c>
      <c r="R204" t="s">
        <v>31</v>
      </c>
      <c r="S204" t="s">
        <v>28</v>
      </c>
      <c r="T204" t="str">
        <f>"76017500"</f>
        <v>76017500</v>
      </c>
      <c r="U204" t="s">
        <v>686</v>
      </c>
      <c r="V204" t="s">
        <v>687</v>
      </c>
    </row>
    <row r="205" spans="1:22" x14ac:dyDescent="0.25">
      <c r="A205" t="str">
        <f t="shared" si="26"/>
        <v>10807</v>
      </c>
      <c r="B205" t="s">
        <v>22</v>
      </c>
      <c r="C205" t="s">
        <v>23</v>
      </c>
      <c r="D205" s="1" t="s">
        <v>684</v>
      </c>
      <c r="E205" t="s">
        <v>25</v>
      </c>
      <c r="F205" t="s">
        <v>26</v>
      </c>
      <c r="G205" t="str">
        <f t="shared" si="27"/>
        <v>37</v>
      </c>
      <c r="H205" t="str">
        <f t="shared" si="24"/>
        <v>11</v>
      </c>
      <c r="I205" t="s">
        <v>37</v>
      </c>
      <c r="J205">
        <v>30</v>
      </c>
      <c r="K205">
        <v>30</v>
      </c>
      <c r="L205" s="1">
        <f t="shared" si="22"/>
        <v>30000</v>
      </c>
      <c r="M205" t="s">
        <v>688</v>
      </c>
      <c r="N205">
        <v>1</v>
      </c>
      <c r="O205" t="str">
        <f t="shared" si="25"/>
        <v>722</v>
      </c>
      <c r="P205" t="s">
        <v>39</v>
      </c>
      <c r="Q205" t="s">
        <v>37</v>
      </c>
      <c r="R205" t="s">
        <v>31</v>
      </c>
      <c r="S205" t="s">
        <v>28</v>
      </c>
      <c r="T205" t="str">
        <f>"99209662"</f>
        <v>99209662</v>
      </c>
      <c r="U205" t="s">
        <v>689</v>
      </c>
      <c r="V205" t="s">
        <v>690</v>
      </c>
    </row>
    <row r="206" spans="1:22" x14ac:dyDescent="0.25">
      <c r="A206" t="str">
        <f t="shared" si="26"/>
        <v>10807</v>
      </c>
      <c r="B206" t="s">
        <v>22</v>
      </c>
      <c r="C206" t="s">
        <v>23</v>
      </c>
      <c r="D206" s="1" t="s">
        <v>684</v>
      </c>
      <c r="E206" t="s">
        <v>25</v>
      </c>
      <c r="F206" t="s">
        <v>26</v>
      </c>
      <c r="G206" t="str">
        <f t="shared" si="27"/>
        <v>37</v>
      </c>
      <c r="H206" t="str">
        <f t="shared" si="24"/>
        <v>11</v>
      </c>
      <c r="I206" t="s">
        <v>37</v>
      </c>
      <c r="J206">
        <v>30</v>
      </c>
      <c r="K206">
        <v>30</v>
      </c>
      <c r="L206" s="1">
        <f t="shared" si="22"/>
        <v>30000</v>
      </c>
      <c r="M206" t="s">
        <v>691</v>
      </c>
      <c r="N206">
        <v>1</v>
      </c>
      <c r="O206" t="str">
        <f t="shared" si="25"/>
        <v>722</v>
      </c>
      <c r="P206" t="s">
        <v>39</v>
      </c>
      <c r="Q206" t="s">
        <v>37</v>
      </c>
      <c r="R206" t="s">
        <v>31</v>
      </c>
      <c r="S206" t="s">
        <v>28</v>
      </c>
      <c r="T206" t="str">
        <f>"49960194"</f>
        <v>49960194</v>
      </c>
      <c r="U206" t="s">
        <v>692</v>
      </c>
      <c r="V206" t="s">
        <v>693</v>
      </c>
    </row>
    <row r="207" spans="1:22" x14ac:dyDescent="0.25">
      <c r="A207" t="str">
        <f t="shared" si="26"/>
        <v>10807</v>
      </c>
      <c r="B207" t="s">
        <v>22</v>
      </c>
      <c r="C207" t="s">
        <v>23</v>
      </c>
      <c r="D207" s="1" t="s">
        <v>684</v>
      </c>
      <c r="E207" t="s">
        <v>25</v>
      </c>
      <c r="F207" t="s">
        <v>26</v>
      </c>
      <c r="G207" t="str">
        <f t="shared" si="27"/>
        <v>37</v>
      </c>
      <c r="H207" t="str">
        <f t="shared" si="24"/>
        <v>11</v>
      </c>
      <c r="I207" t="s">
        <v>27</v>
      </c>
      <c r="J207">
        <v>60</v>
      </c>
      <c r="K207">
        <v>60</v>
      </c>
      <c r="L207" s="1">
        <f t="shared" si="22"/>
        <v>60000</v>
      </c>
      <c r="M207" t="s">
        <v>694</v>
      </c>
      <c r="N207">
        <v>1</v>
      </c>
      <c r="O207" t="str">
        <f t="shared" si="25"/>
        <v>722</v>
      </c>
      <c r="P207" t="s">
        <v>30</v>
      </c>
      <c r="Q207" t="s">
        <v>27</v>
      </c>
      <c r="R207" t="s">
        <v>31</v>
      </c>
      <c r="S207" t="s">
        <v>28</v>
      </c>
      <c r="T207" t="str">
        <f>"07928692"</f>
        <v>07928692</v>
      </c>
      <c r="U207" t="s">
        <v>695</v>
      </c>
      <c r="V207" t="s">
        <v>696</v>
      </c>
    </row>
    <row r="208" spans="1:22" x14ac:dyDescent="0.25">
      <c r="A208" t="str">
        <f t="shared" si="26"/>
        <v>10807</v>
      </c>
      <c r="B208" t="s">
        <v>22</v>
      </c>
      <c r="C208" t="s">
        <v>23</v>
      </c>
      <c r="D208" s="1" t="s">
        <v>697</v>
      </c>
      <c r="E208" t="s">
        <v>25</v>
      </c>
      <c r="F208" t="s">
        <v>26</v>
      </c>
      <c r="G208" t="str">
        <f t="shared" si="27"/>
        <v>37</v>
      </c>
      <c r="H208" t="str">
        <f t="shared" si="24"/>
        <v>11</v>
      </c>
      <c r="I208" t="s">
        <v>27</v>
      </c>
      <c r="J208">
        <v>10</v>
      </c>
      <c r="K208">
        <v>10</v>
      </c>
      <c r="L208" s="1">
        <f t="shared" si="22"/>
        <v>10000</v>
      </c>
      <c r="M208" t="s">
        <v>698</v>
      </c>
      <c r="N208">
        <v>1</v>
      </c>
      <c r="O208" t="str">
        <f t="shared" si="25"/>
        <v>722</v>
      </c>
      <c r="P208" t="s">
        <v>30</v>
      </c>
      <c r="Q208" t="s">
        <v>27</v>
      </c>
      <c r="R208" t="s">
        <v>31</v>
      </c>
      <c r="S208" t="s">
        <v>28</v>
      </c>
      <c r="T208" t="str">
        <f>"19304329"</f>
        <v>19304329</v>
      </c>
      <c r="U208" t="s">
        <v>699</v>
      </c>
      <c r="V208" t="s">
        <v>700</v>
      </c>
    </row>
    <row r="209" spans="1:22" x14ac:dyDescent="0.25">
      <c r="A209" t="str">
        <f t="shared" si="26"/>
        <v>10807</v>
      </c>
      <c r="B209" t="s">
        <v>22</v>
      </c>
      <c r="C209" t="s">
        <v>23</v>
      </c>
      <c r="D209" s="1" t="s">
        <v>697</v>
      </c>
      <c r="E209" t="s">
        <v>25</v>
      </c>
      <c r="F209" t="s">
        <v>26</v>
      </c>
      <c r="G209" t="str">
        <f t="shared" si="27"/>
        <v>37</v>
      </c>
      <c r="H209" t="str">
        <f t="shared" ref="H209:H215" si="28">"11"</f>
        <v>11</v>
      </c>
      <c r="I209" t="s">
        <v>37</v>
      </c>
      <c r="J209">
        <v>20</v>
      </c>
      <c r="K209">
        <v>20</v>
      </c>
      <c r="L209" s="1">
        <f t="shared" si="22"/>
        <v>20000</v>
      </c>
      <c r="M209" t="s">
        <v>701</v>
      </c>
      <c r="N209">
        <v>1</v>
      </c>
      <c r="O209" t="str">
        <f t="shared" si="25"/>
        <v>722</v>
      </c>
      <c r="P209" t="s">
        <v>39</v>
      </c>
      <c r="Q209" t="s">
        <v>37</v>
      </c>
      <c r="R209" t="s">
        <v>31</v>
      </c>
      <c r="S209" t="s">
        <v>28</v>
      </c>
      <c r="T209" t="str">
        <f>"10487261"</f>
        <v>10487261</v>
      </c>
      <c r="U209" t="s">
        <v>702</v>
      </c>
      <c r="V209" t="s">
        <v>703</v>
      </c>
    </row>
    <row r="210" spans="1:22" x14ac:dyDescent="0.25">
      <c r="A210" t="str">
        <f t="shared" si="26"/>
        <v>10807</v>
      </c>
      <c r="B210" t="s">
        <v>22</v>
      </c>
      <c r="C210" t="s">
        <v>23</v>
      </c>
      <c r="D210" s="1" t="s">
        <v>697</v>
      </c>
      <c r="E210" t="s">
        <v>25</v>
      </c>
      <c r="F210" t="s">
        <v>26</v>
      </c>
      <c r="G210" t="str">
        <f t="shared" si="27"/>
        <v>37</v>
      </c>
      <c r="H210" t="str">
        <f t="shared" si="28"/>
        <v>11</v>
      </c>
      <c r="I210" t="s">
        <v>37</v>
      </c>
      <c r="J210">
        <v>20</v>
      </c>
      <c r="K210">
        <v>20</v>
      </c>
      <c r="L210" s="1">
        <f t="shared" si="22"/>
        <v>20000</v>
      </c>
      <c r="M210" t="s">
        <v>704</v>
      </c>
      <c r="N210">
        <v>1</v>
      </c>
      <c r="O210" t="str">
        <f t="shared" si="25"/>
        <v>722</v>
      </c>
      <c r="P210" t="s">
        <v>39</v>
      </c>
      <c r="Q210" t="s">
        <v>37</v>
      </c>
      <c r="R210" t="s">
        <v>31</v>
      </c>
      <c r="S210" t="s">
        <v>28</v>
      </c>
      <c r="T210" t="str">
        <f>"10539303"</f>
        <v>10539303</v>
      </c>
      <c r="U210" t="s">
        <v>705</v>
      </c>
      <c r="V210" t="s">
        <v>706</v>
      </c>
    </row>
    <row r="211" spans="1:22" x14ac:dyDescent="0.25">
      <c r="A211" t="str">
        <f t="shared" si="26"/>
        <v>10807</v>
      </c>
      <c r="B211" t="s">
        <v>22</v>
      </c>
      <c r="C211" t="s">
        <v>23</v>
      </c>
      <c r="D211" s="1" t="s">
        <v>697</v>
      </c>
      <c r="E211" t="s">
        <v>25</v>
      </c>
      <c r="F211" t="s">
        <v>26</v>
      </c>
      <c r="G211" t="str">
        <f t="shared" si="27"/>
        <v>37</v>
      </c>
      <c r="H211" t="str">
        <f t="shared" si="28"/>
        <v>11</v>
      </c>
      <c r="I211" t="s">
        <v>27</v>
      </c>
      <c r="J211">
        <v>30</v>
      </c>
      <c r="K211">
        <v>30</v>
      </c>
      <c r="L211" s="1">
        <f t="shared" si="22"/>
        <v>30000</v>
      </c>
      <c r="M211" t="s">
        <v>707</v>
      </c>
      <c r="N211">
        <v>1</v>
      </c>
      <c r="O211" t="str">
        <f t="shared" si="25"/>
        <v>722</v>
      </c>
      <c r="P211" t="s">
        <v>30</v>
      </c>
      <c r="Q211" t="s">
        <v>27</v>
      </c>
      <c r="R211" t="s">
        <v>31</v>
      </c>
      <c r="S211" t="s">
        <v>28</v>
      </c>
      <c r="T211" t="str">
        <f>"74823331"</f>
        <v>74823331</v>
      </c>
      <c r="U211" t="s">
        <v>708</v>
      </c>
      <c r="V211" t="s">
        <v>709</v>
      </c>
    </row>
    <row r="212" spans="1:22" x14ac:dyDescent="0.25">
      <c r="A212" t="str">
        <f t="shared" si="26"/>
        <v>10807</v>
      </c>
      <c r="B212" t="s">
        <v>22</v>
      </c>
      <c r="C212" t="s">
        <v>23</v>
      </c>
      <c r="D212" s="1" t="s">
        <v>710</v>
      </c>
      <c r="E212" t="s">
        <v>25</v>
      </c>
      <c r="F212" t="s">
        <v>26</v>
      </c>
      <c r="G212" t="str">
        <f t="shared" si="27"/>
        <v>37</v>
      </c>
      <c r="H212" t="str">
        <f t="shared" si="28"/>
        <v>11</v>
      </c>
      <c r="I212" t="s">
        <v>37</v>
      </c>
      <c r="J212">
        <v>40</v>
      </c>
      <c r="K212">
        <v>40</v>
      </c>
      <c r="L212" s="1">
        <f t="shared" si="22"/>
        <v>40000</v>
      </c>
      <c r="M212" t="s">
        <v>711</v>
      </c>
      <c r="N212">
        <v>1</v>
      </c>
      <c r="O212" t="str">
        <f t="shared" si="25"/>
        <v>722</v>
      </c>
      <c r="P212" t="s">
        <v>39</v>
      </c>
      <c r="Q212" t="s">
        <v>37</v>
      </c>
      <c r="R212" t="s">
        <v>31</v>
      </c>
      <c r="S212" t="s">
        <v>28</v>
      </c>
      <c r="T212" t="str">
        <f>"36665971"</f>
        <v>36665971</v>
      </c>
      <c r="U212" t="s">
        <v>712</v>
      </c>
      <c r="V212" t="s">
        <v>713</v>
      </c>
    </row>
    <row r="213" spans="1:22" x14ac:dyDescent="0.25">
      <c r="A213" t="str">
        <f t="shared" si="26"/>
        <v>10807</v>
      </c>
      <c r="B213" t="s">
        <v>22</v>
      </c>
      <c r="C213" t="s">
        <v>23</v>
      </c>
      <c r="D213" s="1" t="s">
        <v>710</v>
      </c>
      <c r="E213" t="s">
        <v>25</v>
      </c>
      <c r="F213" t="s">
        <v>26</v>
      </c>
      <c r="G213" t="str">
        <f t="shared" si="27"/>
        <v>37</v>
      </c>
      <c r="H213" t="str">
        <f t="shared" si="28"/>
        <v>11</v>
      </c>
      <c r="I213" t="s">
        <v>27</v>
      </c>
      <c r="J213">
        <v>20</v>
      </c>
      <c r="K213">
        <v>20</v>
      </c>
      <c r="L213" s="1">
        <f t="shared" si="22"/>
        <v>20000</v>
      </c>
      <c r="M213" t="s">
        <v>714</v>
      </c>
      <c r="N213">
        <v>1</v>
      </c>
      <c r="O213" t="str">
        <f t="shared" si="25"/>
        <v>722</v>
      </c>
      <c r="P213" t="s">
        <v>30</v>
      </c>
      <c r="Q213" t="s">
        <v>27</v>
      </c>
      <c r="R213" t="s">
        <v>31</v>
      </c>
      <c r="S213" t="s">
        <v>28</v>
      </c>
      <c r="T213" t="str">
        <f>"99191656"</f>
        <v>99191656</v>
      </c>
      <c r="U213" t="s">
        <v>715</v>
      </c>
      <c r="V213" t="s">
        <v>716</v>
      </c>
    </row>
    <row r="214" spans="1:22" x14ac:dyDescent="0.25">
      <c r="A214" t="str">
        <f t="shared" si="26"/>
        <v>10807</v>
      </c>
      <c r="B214" t="s">
        <v>22</v>
      </c>
      <c r="C214" t="s">
        <v>23</v>
      </c>
      <c r="D214" s="1" t="s">
        <v>710</v>
      </c>
      <c r="E214" t="s">
        <v>25</v>
      </c>
      <c r="F214" t="s">
        <v>26</v>
      </c>
      <c r="G214" t="str">
        <f t="shared" si="27"/>
        <v>37</v>
      </c>
      <c r="H214" t="str">
        <f t="shared" si="28"/>
        <v>11</v>
      </c>
      <c r="I214" t="s">
        <v>27</v>
      </c>
      <c r="J214">
        <v>50</v>
      </c>
      <c r="K214">
        <v>50</v>
      </c>
      <c r="L214" s="1">
        <f t="shared" ref="L214:L215" si="29">K214*1000</f>
        <v>50000</v>
      </c>
      <c r="M214" t="s">
        <v>717</v>
      </c>
      <c r="N214">
        <v>1</v>
      </c>
      <c r="O214" t="str">
        <f t="shared" si="25"/>
        <v>722</v>
      </c>
      <c r="P214" t="s">
        <v>30</v>
      </c>
      <c r="Q214" t="s">
        <v>27</v>
      </c>
      <c r="R214" t="s">
        <v>31</v>
      </c>
      <c r="S214" t="s">
        <v>28</v>
      </c>
      <c r="T214" t="str">
        <f>"17034840"</f>
        <v>17034840</v>
      </c>
      <c r="U214" t="s">
        <v>718</v>
      </c>
      <c r="V214" t="s">
        <v>719</v>
      </c>
    </row>
    <row r="215" spans="1:22" x14ac:dyDescent="0.25">
      <c r="A215" t="str">
        <f t="shared" si="26"/>
        <v>10807</v>
      </c>
      <c r="B215" t="s">
        <v>22</v>
      </c>
      <c r="C215" t="s">
        <v>23</v>
      </c>
      <c r="D215" s="1" t="s">
        <v>710</v>
      </c>
      <c r="E215" t="s">
        <v>25</v>
      </c>
      <c r="F215" t="s">
        <v>26</v>
      </c>
      <c r="G215" t="str">
        <f t="shared" si="27"/>
        <v>37</v>
      </c>
      <c r="H215" t="str">
        <f t="shared" si="28"/>
        <v>11</v>
      </c>
      <c r="I215" t="s">
        <v>37</v>
      </c>
      <c r="J215">
        <v>20</v>
      </c>
      <c r="K215">
        <v>20</v>
      </c>
      <c r="L215" s="1">
        <f t="shared" si="29"/>
        <v>20000</v>
      </c>
      <c r="M215" t="s">
        <v>720</v>
      </c>
      <c r="N215">
        <v>1</v>
      </c>
      <c r="O215" t="str">
        <f t="shared" si="25"/>
        <v>722</v>
      </c>
      <c r="P215" t="s">
        <v>39</v>
      </c>
      <c r="Q215" t="s">
        <v>37</v>
      </c>
      <c r="R215" t="s">
        <v>31</v>
      </c>
      <c r="S215" t="s">
        <v>28</v>
      </c>
      <c r="T215" t="str">
        <f>"37922288"</f>
        <v>37922288</v>
      </c>
      <c r="U215" t="s">
        <v>721</v>
      </c>
      <c r="V215" t="s">
        <v>722</v>
      </c>
    </row>
    <row r="216" spans="1:22" x14ac:dyDescent="0.25">
      <c r="A216" t="str">
        <f t="shared" si="26"/>
        <v>10807</v>
      </c>
      <c r="B216" t="s">
        <v>723</v>
      </c>
      <c r="C216" t="s">
        <v>724</v>
      </c>
      <c r="D216" t="s">
        <v>725</v>
      </c>
      <c r="E216" t="s">
        <v>25</v>
      </c>
      <c r="F216" t="s">
        <v>26</v>
      </c>
      <c r="G216" t="str">
        <f t="shared" si="27"/>
        <v>37</v>
      </c>
      <c r="H216" t="str">
        <f>"11"</f>
        <v>11</v>
      </c>
      <c r="I216" t="s">
        <v>37</v>
      </c>
      <c r="J216">
        <v>20</v>
      </c>
      <c r="K216">
        <v>0</v>
      </c>
      <c r="L216" t="s">
        <v>28</v>
      </c>
      <c r="M216" t="s">
        <v>726</v>
      </c>
      <c r="N216">
        <v>1</v>
      </c>
      <c r="O216" t="str">
        <f>"722"</f>
        <v>722</v>
      </c>
      <c r="P216" t="s">
        <v>727</v>
      </c>
      <c r="Q216" t="s">
        <v>37</v>
      </c>
      <c r="R216" t="s">
        <v>31</v>
      </c>
      <c r="S216" t="s">
        <v>28</v>
      </c>
      <c r="T216" t="str">
        <f>"39779597"</f>
        <v>39779597</v>
      </c>
      <c r="U216" t="s">
        <v>728</v>
      </c>
      <c r="V216" t="s">
        <v>729</v>
      </c>
    </row>
    <row r="217" spans="1:22" x14ac:dyDescent="0.25">
      <c r="A217" t="str">
        <f t="shared" si="26"/>
        <v>10807</v>
      </c>
      <c r="B217" t="s">
        <v>723</v>
      </c>
      <c r="C217" t="s">
        <v>724</v>
      </c>
      <c r="D217" t="s">
        <v>730</v>
      </c>
      <c r="E217" t="s">
        <v>25</v>
      </c>
      <c r="F217" t="s">
        <v>26</v>
      </c>
      <c r="G217" t="str">
        <f t="shared" si="27"/>
        <v>37</v>
      </c>
      <c r="H217" t="str">
        <f>"12"</f>
        <v>12</v>
      </c>
      <c r="I217" t="s">
        <v>37</v>
      </c>
      <c r="J217">
        <v>20</v>
      </c>
      <c r="K217">
        <v>0</v>
      </c>
      <c r="L217" t="s">
        <v>28</v>
      </c>
      <c r="M217" t="s">
        <v>731</v>
      </c>
      <c r="N217">
        <v>1</v>
      </c>
      <c r="O217" t="str">
        <f>"723"</f>
        <v>723</v>
      </c>
      <c r="P217" t="s">
        <v>732</v>
      </c>
      <c r="Q217" t="s">
        <v>37</v>
      </c>
      <c r="R217" t="s">
        <v>31</v>
      </c>
      <c r="S217" t="s">
        <v>28</v>
      </c>
      <c r="T217" t="str">
        <f>"49504703"</f>
        <v>49504703</v>
      </c>
      <c r="U217" t="s">
        <v>733</v>
      </c>
      <c r="V217" t="s">
        <v>734</v>
      </c>
    </row>
    <row r="218" spans="1:22" x14ac:dyDescent="0.25">
      <c r="A218" t="str">
        <f t="shared" si="26"/>
        <v>10807</v>
      </c>
      <c r="B218" t="s">
        <v>723</v>
      </c>
      <c r="C218" t="s">
        <v>724</v>
      </c>
      <c r="D218" t="s">
        <v>735</v>
      </c>
      <c r="E218" t="s">
        <v>25</v>
      </c>
      <c r="F218" t="s">
        <v>26</v>
      </c>
      <c r="G218" t="str">
        <f t="shared" si="27"/>
        <v>37</v>
      </c>
      <c r="H218" t="str">
        <f t="shared" ref="H218:H238" si="30">"11"</f>
        <v>11</v>
      </c>
      <c r="I218" t="s">
        <v>37</v>
      </c>
      <c r="J218">
        <v>20</v>
      </c>
      <c r="K218">
        <v>0</v>
      </c>
      <c r="L218" t="s">
        <v>28</v>
      </c>
      <c r="M218" t="s">
        <v>736</v>
      </c>
      <c r="N218">
        <v>1</v>
      </c>
      <c r="O218" t="str">
        <f t="shared" ref="O218:O238" si="31">"722"</f>
        <v>722</v>
      </c>
      <c r="P218" t="s">
        <v>737</v>
      </c>
      <c r="Q218" t="s">
        <v>37</v>
      </c>
      <c r="R218" t="s">
        <v>31</v>
      </c>
      <c r="S218" t="s">
        <v>28</v>
      </c>
      <c r="T218" t="str">
        <f>"19312502"</f>
        <v>19312502</v>
      </c>
      <c r="U218" t="s">
        <v>738</v>
      </c>
      <c r="V218" t="s">
        <v>739</v>
      </c>
    </row>
    <row r="219" spans="1:22" x14ac:dyDescent="0.25">
      <c r="A219" t="str">
        <f t="shared" si="26"/>
        <v>10807</v>
      </c>
      <c r="B219" t="s">
        <v>723</v>
      </c>
      <c r="C219" t="s">
        <v>724</v>
      </c>
      <c r="D219" t="s">
        <v>740</v>
      </c>
      <c r="E219" t="s">
        <v>25</v>
      </c>
      <c r="F219" t="s">
        <v>26</v>
      </c>
      <c r="G219" t="str">
        <f t="shared" si="27"/>
        <v>37</v>
      </c>
      <c r="H219" t="str">
        <f t="shared" si="30"/>
        <v>11</v>
      </c>
      <c r="I219" t="s">
        <v>37</v>
      </c>
      <c r="J219">
        <v>50</v>
      </c>
      <c r="K219">
        <v>0</v>
      </c>
      <c r="L219" t="s">
        <v>28</v>
      </c>
      <c r="M219" t="s">
        <v>741</v>
      </c>
      <c r="N219">
        <v>1</v>
      </c>
      <c r="O219" t="str">
        <f t="shared" si="31"/>
        <v>722</v>
      </c>
      <c r="P219" t="s">
        <v>742</v>
      </c>
      <c r="Q219" t="s">
        <v>37</v>
      </c>
      <c r="R219" t="s">
        <v>31</v>
      </c>
      <c r="S219" t="s">
        <v>28</v>
      </c>
      <c r="T219" t="str">
        <f>"97953101"</f>
        <v>97953101</v>
      </c>
      <c r="U219" t="s">
        <v>743</v>
      </c>
      <c r="V219" t="s">
        <v>744</v>
      </c>
    </row>
    <row r="220" spans="1:22" x14ac:dyDescent="0.25">
      <c r="A220" t="str">
        <f t="shared" si="26"/>
        <v>10807</v>
      </c>
      <c r="B220" t="s">
        <v>723</v>
      </c>
      <c r="C220" t="s">
        <v>724</v>
      </c>
      <c r="D220" t="s">
        <v>745</v>
      </c>
      <c r="E220" t="s">
        <v>25</v>
      </c>
      <c r="F220" t="s">
        <v>26</v>
      </c>
      <c r="G220" t="str">
        <f t="shared" si="27"/>
        <v>37</v>
      </c>
      <c r="H220" t="str">
        <f t="shared" si="30"/>
        <v>11</v>
      </c>
      <c r="I220" t="s">
        <v>37</v>
      </c>
      <c r="J220">
        <v>15</v>
      </c>
      <c r="K220">
        <v>0</v>
      </c>
      <c r="L220" t="s">
        <v>28</v>
      </c>
      <c r="M220" t="s">
        <v>746</v>
      </c>
      <c r="N220">
        <v>1</v>
      </c>
      <c r="O220" t="str">
        <f t="shared" si="31"/>
        <v>722</v>
      </c>
      <c r="P220" t="s">
        <v>742</v>
      </c>
      <c r="Q220" t="s">
        <v>37</v>
      </c>
      <c r="R220" t="s">
        <v>31</v>
      </c>
      <c r="S220" t="s">
        <v>28</v>
      </c>
      <c r="T220" t="str">
        <f>"97953101"</f>
        <v>97953101</v>
      </c>
      <c r="U220" t="s">
        <v>743</v>
      </c>
      <c r="V220" t="s">
        <v>744</v>
      </c>
    </row>
    <row r="221" spans="1:22" x14ac:dyDescent="0.25">
      <c r="A221" t="str">
        <f t="shared" si="26"/>
        <v>10807</v>
      </c>
      <c r="B221" t="s">
        <v>723</v>
      </c>
      <c r="C221" t="s">
        <v>724</v>
      </c>
      <c r="D221" t="s">
        <v>747</v>
      </c>
      <c r="E221" t="s">
        <v>25</v>
      </c>
      <c r="F221" t="s">
        <v>26</v>
      </c>
      <c r="G221" t="str">
        <f t="shared" si="27"/>
        <v>37</v>
      </c>
      <c r="H221" t="str">
        <f t="shared" si="30"/>
        <v>11</v>
      </c>
      <c r="I221" t="s">
        <v>37</v>
      </c>
      <c r="J221">
        <v>20</v>
      </c>
      <c r="K221">
        <v>0</v>
      </c>
      <c r="L221" t="s">
        <v>28</v>
      </c>
      <c r="M221" t="s">
        <v>748</v>
      </c>
      <c r="N221">
        <v>1</v>
      </c>
      <c r="O221" t="str">
        <f t="shared" si="31"/>
        <v>722</v>
      </c>
      <c r="P221" t="s">
        <v>749</v>
      </c>
      <c r="Q221" t="s">
        <v>37</v>
      </c>
      <c r="R221" t="s">
        <v>31</v>
      </c>
      <c r="S221" t="s">
        <v>28</v>
      </c>
      <c r="T221" t="str">
        <f>"21496273"</f>
        <v>21496273</v>
      </c>
      <c r="U221" t="s">
        <v>750</v>
      </c>
      <c r="V221" t="s">
        <v>751</v>
      </c>
    </row>
    <row r="222" spans="1:22" x14ac:dyDescent="0.25">
      <c r="A222" t="str">
        <f t="shared" si="26"/>
        <v>10807</v>
      </c>
      <c r="B222" t="s">
        <v>723</v>
      </c>
      <c r="C222" t="s">
        <v>724</v>
      </c>
      <c r="D222" t="s">
        <v>752</v>
      </c>
      <c r="E222" t="s">
        <v>25</v>
      </c>
      <c r="F222" t="s">
        <v>26</v>
      </c>
      <c r="G222" t="str">
        <f t="shared" si="27"/>
        <v>37</v>
      </c>
      <c r="H222" t="str">
        <f t="shared" si="30"/>
        <v>11</v>
      </c>
      <c r="I222" t="s">
        <v>37</v>
      </c>
      <c r="J222">
        <v>12.975</v>
      </c>
      <c r="K222">
        <v>0</v>
      </c>
      <c r="L222" t="s">
        <v>28</v>
      </c>
      <c r="M222" t="s">
        <v>753</v>
      </c>
      <c r="N222">
        <v>1</v>
      </c>
      <c r="O222" t="str">
        <f t="shared" si="31"/>
        <v>722</v>
      </c>
      <c r="P222" t="s">
        <v>754</v>
      </c>
      <c r="Q222" t="s">
        <v>37</v>
      </c>
      <c r="R222" t="s">
        <v>31</v>
      </c>
      <c r="S222" t="s">
        <v>28</v>
      </c>
      <c r="T222" t="str">
        <f>"66845450"</f>
        <v>66845450</v>
      </c>
      <c r="U222" t="s">
        <v>755</v>
      </c>
      <c r="V222" t="s">
        <v>756</v>
      </c>
    </row>
    <row r="223" spans="1:22" x14ac:dyDescent="0.25">
      <c r="A223" t="str">
        <f t="shared" si="26"/>
        <v>10807</v>
      </c>
      <c r="B223" t="s">
        <v>723</v>
      </c>
      <c r="C223" t="s">
        <v>724</v>
      </c>
      <c r="D223" t="s">
        <v>757</v>
      </c>
      <c r="E223" t="s">
        <v>25</v>
      </c>
      <c r="F223" t="s">
        <v>26</v>
      </c>
      <c r="G223" t="str">
        <f t="shared" si="27"/>
        <v>37</v>
      </c>
      <c r="H223" t="str">
        <f t="shared" si="30"/>
        <v>11</v>
      </c>
      <c r="I223" t="s">
        <v>37</v>
      </c>
      <c r="J223">
        <v>20</v>
      </c>
      <c r="K223">
        <v>0</v>
      </c>
      <c r="L223" t="s">
        <v>28</v>
      </c>
      <c r="M223" t="s">
        <v>758</v>
      </c>
      <c r="N223">
        <v>1</v>
      </c>
      <c r="O223" t="str">
        <f t="shared" si="31"/>
        <v>722</v>
      </c>
      <c r="P223" t="s">
        <v>759</v>
      </c>
      <c r="Q223" t="s">
        <v>37</v>
      </c>
      <c r="R223" t="s">
        <v>31</v>
      </c>
      <c r="S223" t="s">
        <v>28</v>
      </c>
      <c r="T223" t="str">
        <f>"20410875"</f>
        <v>20410875</v>
      </c>
      <c r="U223" t="s">
        <v>760</v>
      </c>
      <c r="V223" t="s">
        <v>761</v>
      </c>
    </row>
    <row r="224" spans="1:22" x14ac:dyDescent="0.25">
      <c r="A224" t="str">
        <f t="shared" si="26"/>
        <v>10807</v>
      </c>
      <c r="B224" t="s">
        <v>723</v>
      </c>
      <c r="C224" t="s">
        <v>724</v>
      </c>
      <c r="D224" t="s">
        <v>762</v>
      </c>
      <c r="E224" t="s">
        <v>25</v>
      </c>
      <c r="F224" t="s">
        <v>26</v>
      </c>
      <c r="G224" t="str">
        <f t="shared" si="27"/>
        <v>37</v>
      </c>
      <c r="H224" t="str">
        <f t="shared" si="30"/>
        <v>11</v>
      </c>
      <c r="I224" t="s">
        <v>763</v>
      </c>
      <c r="J224">
        <v>50</v>
      </c>
      <c r="K224">
        <v>0</v>
      </c>
      <c r="L224" t="s">
        <v>28</v>
      </c>
      <c r="M224" t="s">
        <v>764</v>
      </c>
      <c r="N224">
        <v>1</v>
      </c>
      <c r="O224" t="str">
        <f t="shared" si="31"/>
        <v>722</v>
      </c>
      <c r="P224" t="s">
        <v>765</v>
      </c>
      <c r="Q224" t="s">
        <v>763</v>
      </c>
      <c r="R224" t="s">
        <v>31</v>
      </c>
      <c r="S224" t="s">
        <v>28</v>
      </c>
      <c r="T224" t="str">
        <f>"42480261"</f>
        <v>42480261</v>
      </c>
      <c r="U224" t="s">
        <v>766</v>
      </c>
      <c r="V224" t="s">
        <v>767</v>
      </c>
    </row>
    <row r="225" spans="1:22" x14ac:dyDescent="0.25">
      <c r="A225" t="str">
        <f t="shared" si="26"/>
        <v>10807</v>
      </c>
      <c r="B225" t="s">
        <v>723</v>
      </c>
      <c r="C225" t="s">
        <v>724</v>
      </c>
      <c r="D225" t="s">
        <v>768</v>
      </c>
      <c r="E225" t="s">
        <v>25</v>
      </c>
      <c r="F225" t="s">
        <v>26</v>
      </c>
      <c r="G225" t="str">
        <f t="shared" si="27"/>
        <v>37</v>
      </c>
      <c r="H225" t="str">
        <f t="shared" si="30"/>
        <v>11</v>
      </c>
      <c r="I225" t="s">
        <v>763</v>
      </c>
      <c r="J225">
        <v>50</v>
      </c>
      <c r="K225">
        <v>0</v>
      </c>
      <c r="L225" t="s">
        <v>28</v>
      </c>
      <c r="M225" t="s">
        <v>769</v>
      </c>
      <c r="N225">
        <v>1</v>
      </c>
      <c r="O225" t="str">
        <f t="shared" si="31"/>
        <v>722</v>
      </c>
      <c r="P225" t="s">
        <v>770</v>
      </c>
      <c r="Q225" t="s">
        <v>763</v>
      </c>
      <c r="R225" t="s">
        <v>31</v>
      </c>
      <c r="S225" t="s">
        <v>28</v>
      </c>
      <c r="T225" t="str">
        <f>"45397076"</f>
        <v>45397076</v>
      </c>
      <c r="U225" t="s">
        <v>771</v>
      </c>
      <c r="V225" t="s">
        <v>772</v>
      </c>
    </row>
    <row r="226" spans="1:22" x14ac:dyDescent="0.25">
      <c r="A226" t="str">
        <f t="shared" si="26"/>
        <v>10807</v>
      </c>
      <c r="B226" t="s">
        <v>723</v>
      </c>
      <c r="C226" t="s">
        <v>724</v>
      </c>
      <c r="D226" t="s">
        <v>773</v>
      </c>
      <c r="E226" t="s">
        <v>25</v>
      </c>
      <c r="F226" t="s">
        <v>26</v>
      </c>
      <c r="G226" t="str">
        <f t="shared" si="27"/>
        <v>37</v>
      </c>
      <c r="H226" t="str">
        <f t="shared" si="30"/>
        <v>11</v>
      </c>
      <c r="I226" t="s">
        <v>27</v>
      </c>
      <c r="J226">
        <v>50</v>
      </c>
      <c r="K226">
        <v>0</v>
      </c>
      <c r="L226" t="s">
        <v>28</v>
      </c>
      <c r="M226" t="s">
        <v>774</v>
      </c>
      <c r="N226">
        <v>1</v>
      </c>
      <c r="O226" t="str">
        <f t="shared" si="31"/>
        <v>722</v>
      </c>
      <c r="P226" t="s">
        <v>775</v>
      </c>
      <c r="Q226" t="s">
        <v>27</v>
      </c>
      <c r="R226" t="s">
        <v>31</v>
      </c>
      <c r="S226" t="s">
        <v>28</v>
      </c>
      <c r="T226" t="str">
        <f>"45397076"</f>
        <v>45397076</v>
      </c>
      <c r="U226" t="s">
        <v>771</v>
      </c>
      <c r="V226" t="s">
        <v>772</v>
      </c>
    </row>
    <row r="227" spans="1:22" x14ac:dyDescent="0.25">
      <c r="A227" t="str">
        <f t="shared" si="26"/>
        <v>10807</v>
      </c>
      <c r="B227" t="s">
        <v>723</v>
      </c>
      <c r="C227" t="s">
        <v>724</v>
      </c>
      <c r="D227" t="s">
        <v>776</v>
      </c>
      <c r="E227" t="s">
        <v>25</v>
      </c>
      <c r="F227" t="s">
        <v>26</v>
      </c>
      <c r="G227" t="str">
        <f t="shared" si="27"/>
        <v>37</v>
      </c>
      <c r="H227" t="str">
        <f t="shared" si="30"/>
        <v>11</v>
      </c>
      <c r="I227" t="s">
        <v>27</v>
      </c>
      <c r="J227">
        <v>50</v>
      </c>
      <c r="K227">
        <v>0</v>
      </c>
      <c r="L227" t="s">
        <v>28</v>
      </c>
      <c r="M227" t="s">
        <v>777</v>
      </c>
      <c r="N227">
        <v>1</v>
      </c>
      <c r="O227" t="str">
        <f t="shared" si="31"/>
        <v>722</v>
      </c>
      <c r="P227" t="s">
        <v>778</v>
      </c>
      <c r="Q227" t="s">
        <v>27</v>
      </c>
      <c r="R227" t="s">
        <v>31</v>
      </c>
      <c r="S227" t="s">
        <v>28</v>
      </c>
      <c r="T227" t="str">
        <f>"26919928"</f>
        <v>26919928</v>
      </c>
      <c r="U227" t="s">
        <v>779</v>
      </c>
      <c r="V227" t="s">
        <v>780</v>
      </c>
    </row>
    <row r="228" spans="1:22" x14ac:dyDescent="0.25">
      <c r="A228" t="str">
        <f t="shared" si="26"/>
        <v>10807</v>
      </c>
      <c r="B228" t="s">
        <v>723</v>
      </c>
      <c r="C228" t="s">
        <v>724</v>
      </c>
      <c r="D228" t="s">
        <v>781</v>
      </c>
      <c r="E228" t="s">
        <v>25</v>
      </c>
      <c r="F228" t="s">
        <v>26</v>
      </c>
      <c r="G228" t="str">
        <f t="shared" si="27"/>
        <v>37</v>
      </c>
      <c r="H228" t="str">
        <f t="shared" si="30"/>
        <v>11</v>
      </c>
      <c r="I228" t="s">
        <v>37</v>
      </c>
      <c r="J228">
        <v>50</v>
      </c>
      <c r="K228">
        <v>0</v>
      </c>
      <c r="L228" t="s">
        <v>28</v>
      </c>
      <c r="M228" t="s">
        <v>782</v>
      </c>
      <c r="N228">
        <v>1</v>
      </c>
      <c r="O228" t="str">
        <f t="shared" si="31"/>
        <v>722</v>
      </c>
      <c r="P228" t="s">
        <v>783</v>
      </c>
      <c r="Q228" t="s">
        <v>37</v>
      </c>
      <c r="R228" t="s">
        <v>31</v>
      </c>
      <c r="S228" t="s">
        <v>28</v>
      </c>
      <c r="T228" t="str">
        <f>"47269800"</f>
        <v>47269800</v>
      </c>
      <c r="U228" t="s">
        <v>784</v>
      </c>
      <c r="V228" t="s">
        <v>785</v>
      </c>
    </row>
    <row r="229" spans="1:22" x14ac:dyDescent="0.25">
      <c r="A229" t="str">
        <f t="shared" si="26"/>
        <v>10807</v>
      </c>
      <c r="B229" t="s">
        <v>723</v>
      </c>
      <c r="C229" t="s">
        <v>724</v>
      </c>
      <c r="D229" t="s">
        <v>786</v>
      </c>
      <c r="E229" t="s">
        <v>25</v>
      </c>
      <c r="F229" t="s">
        <v>26</v>
      </c>
      <c r="G229" t="str">
        <f t="shared" si="27"/>
        <v>37</v>
      </c>
      <c r="H229" t="str">
        <f t="shared" si="30"/>
        <v>11</v>
      </c>
      <c r="I229" t="s">
        <v>763</v>
      </c>
      <c r="J229">
        <v>50</v>
      </c>
      <c r="K229">
        <v>0</v>
      </c>
      <c r="L229" t="s">
        <v>28</v>
      </c>
      <c r="M229" t="s">
        <v>787</v>
      </c>
      <c r="N229">
        <v>1</v>
      </c>
      <c r="O229" t="str">
        <f t="shared" si="31"/>
        <v>722</v>
      </c>
      <c r="P229" t="s">
        <v>788</v>
      </c>
      <c r="Q229" t="s">
        <v>763</v>
      </c>
      <c r="R229" t="s">
        <v>31</v>
      </c>
      <c r="S229" t="s">
        <v>28</v>
      </c>
      <c r="T229" t="str">
        <f>"26919928"</f>
        <v>26919928</v>
      </c>
      <c r="U229" t="s">
        <v>779</v>
      </c>
      <c r="V229" t="s">
        <v>780</v>
      </c>
    </row>
    <row r="230" spans="1:22" x14ac:dyDescent="0.25">
      <c r="A230" t="str">
        <f t="shared" si="26"/>
        <v>10807</v>
      </c>
      <c r="B230" t="s">
        <v>723</v>
      </c>
      <c r="C230" t="s">
        <v>724</v>
      </c>
      <c r="D230" t="s">
        <v>789</v>
      </c>
      <c r="E230" t="s">
        <v>25</v>
      </c>
      <c r="F230" t="s">
        <v>26</v>
      </c>
      <c r="G230" t="str">
        <f t="shared" si="27"/>
        <v>37</v>
      </c>
      <c r="H230" t="str">
        <f t="shared" si="30"/>
        <v>11</v>
      </c>
      <c r="I230" t="s">
        <v>27</v>
      </c>
      <c r="J230">
        <v>50</v>
      </c>
      <c r="K230">
        <v>0</v>
      </c>
      <c r="L230" t="s">
        <v>28</v>
      </c>
      <c r="M230" t="s">
        <v>790</v>
      </c>
      <c r="N230">
        <v>1</v>
      </c>
      <c r="O230" t="str">
        <f t="shared" si="31"/>
        <v>722</v>
      </c>
      <c r="P230" t="s">
        <v>791</v>
      </c>
      <c r="Q230" t="s">
        <v>27</v>
      </c>
      <c r="R230" t="s">
        <v>31</v>
      </c>
      <c r="S230" t="s">
        <v>28</v>
      </c>
      <c r="T230" t="str">
        <f>"19311779"</f>
        <v>19311779</v>
      </c>
      <c r="U230" t="s">
        <v>792</v>
      </c>
      <c r="V230" t="s">
        <v>793</v>
      </c>
    </row>
    <row r="231" spans="1:22" x14ac:dyDescent="0.25">
      <c r="A231" t="str">
        <f t="shared" si="26"/>
        <v>10807</v>
      </c>
      <c r="B231" t="s">
        <v>723</v>
      </c>
      <c r="C231" t="s">
        <v>724</v>
      </c>
      <c r="D231" t="s">
        <v>794</v>
      </c>
      <c r="E231" t="s">
        <v>25</v>
      </c>
      <c r="F231" t="s">
        <v>26</v>
      </c>
      <c r="G231" t="str">
        <f t="shared" si="27"/>
        <v>37</v>
      </c>
      <c r="H231" t="str">
        <f t="shared" si="30"/>
        <v>11</v>
      </c>
      <c r="I231" t="s">
        <v>37</v>
      </c>
      <c r="J231">
        <v>20</v>
      </c>
      <c r="K231">
        <v>0</v>
      </c>
      <c r="L231" t="s">
        <v>28</v>
      </c>
      <c r="M231" t="s">
        <v>795</v>
      </c>
      <c r="N231">
        <v>1</v>
      </c>
      <c r="O231" t="str">
        <f t="shared" si="31"/>
        <v>722</v>
      </c>
      <c r="P231" t="s">
        <v>796</v>
      </c>
      <c r="Q231" t="s">
        <v>37</v>
      </c>
      <c r="R231" t="s">
        <v>31</v>
      </c>
      <c r="S231" t="s">
        <v>28</v>
      </c>
      <c r="T231" t="str">
        <f>"19304030"</f>
        <v>19304030</v>
      </c>
      <c r="U231" t="s">
        <v>797</v>
      </c>
      <c r="V231" t="s">
        <v>798</v>
      </c>
    </row>
    <row r="232" spans="1:22" x14ac:dyDescent="0.25">
      <c r="A232" t="str">
        <f t="shared" si="26"/>
        <v>10807</v>
      </c>
      <c r="B232" t="s">
        <v>723</v>
      </c>
      <c r="C232" t="s">
        <v>724</v>
      </c>
      <c r="D232" t="s">
        <v>799</v>
      </c>
      <c r="E232" t="s">
        <v>25</v>
      </c>
      <c r="F232" t="s">
        <v>26</v>
      </c>
      <c r="G232" t="str">
        <f t="shared" si="27"/>
        <v>37</v>
      </c>
      <c r="H232" t="str">
        <f t="shared" si="30"/>
        <v>11</v>
      </c>
      <c r="I232" t="s">
        <v>27</v>
      </c>
      <c r="J232">
        <v>30</v>
      </c>
      <c r="K232">
        <v>0</v>
      </c>
      <c r="L232" t="s">
        <v>28</v>
      </c>
      <c r="M232" t="s">
        <v>800</v>
      </c>
      <c r="N232">
        <v>1</v>
      </c>
      <c r="O232" t="str">
        <f t="shared" si="31"/>
        <v>722</v>
      </c>
      <c r="P232" t="s">
        <v>801</v>
      </c>
      <c r="Q232" t="s">
        <v>27</v>
      </c>
      <c r="R232" t="s">
        <v>31</v>
      </c>
      <c r="S232" t="s">
        <v>28</v>
      </c>
      <c r="T232" t="str">
        <f>"09302723"</f>
        <v>09302723</v>
      </c>
      <c r="U232" t="s">
        <v>802</v>
      </c>
      <c r="V232" t="s">
        <v>803</v>
      </c>
    </row>
    <row r="233" spans="1:22" x14ac:dyDescent="0.25">
      <c r="A233" t="str">
        <f t="shared" si="26"/>
        <v>10807</v>
      </c>
      <c r="B233" t="s">
        <v>723</v>
      </c>
      <c r="C233" t="s">
        <v>724</v>
      </c>
      <c r="D233" t="s">
        <v>804</v>
      </c>
      <c r="E233" t="s">
        <v>25</v>
      </c>
      <c r="F233" t="s">
        <v>26</v>
      </c>
      <c r="G233" t="str">
        <f t="shared" si="27"/>
        <v>37</v>
      </c>
      <c r="H233" t="str">
        <f t="shared" si="30"/>
        <v>11</v>
      </c>
      <c r="I233" t="s">
        <v>37</v>
      </c>
      <c r="J233">
        <v>20</v>
      </c>
      <c r="K233">
        <v>0</v>
      </c>
      <c r="L233" t="s">
        <v>28</v>
      </c>
      <c r="M233" t="s">
        <v>805</v>
      </c>
      <c r="N233">
        <v>1</v>
      </c>
      <c r="O233" t="str">
        <f t="shared" si="31"/>
        <v>722</v>
      </c>
      <c r="P233" t="s">
        <v>806</v>
      </c>
      <c r="Q233" t="s">
        <v>37</v>
      </c>
      <c r="R233" t="s">
        <v>31</v>
      </c>
      <c r="S233" t="s">
        <v>28</v>
      </c>
      <c r="T233" t="str">
        <f>"76936628"</f>
        <v>76936628</v>
      </c>
      <c r="U233" t="s">
        <v>807</v>
      </c>
      <c r="V233" t="s">
        <v>808</v>
      </c>
    </row>
    <row r="234" spans="1:22" x14ac:dyDescent="0.25">
      <c r="A234" t="str">
        <f t="shared" si="26"/>
        <v>10807</v>
      </c>
      <c r="B234" t="s">
        <v>723</v>
      </c>
      <c r="C234" t="s">
        <v>724</v>
      </c>
      <c r="D234" t="s">
        <v>809</v>
      </c>
      <c r="E234" t="s">
        <v>25</v>
      </c>
      <c r="F234" t="s">
        <v>26</v>
      </c>
      <c r="G234" t="str">
        <f t="shared" si="27"/>
        <v>37</v>
      </c>
      <c r="H234" t="str">
        <f t="shared" si="30"/>
        <v>11</v>
      </c>
      <c r="I234" t="s">
        <v>37</v>
      </c>
      <c r="J234">
        <v>20</v>
      </c>
      <c r="K234">
        <v>0</v>
      </c>
      <c r="L234" t="s">
        <v>28</v>
      </c>
      <c r="M234" t="s">
        <v>810</v>
      </c>
      <c r="N234">
        <v>1</v>
      </c>
      <c r="O234" t="str">
        <f t="shared" si="31"/>
        <v>722</v>
      </c>
      <c r="P234" t="s">
        <v>811</v>
      </c>
      <c r="Q234" t="s">
        <v>37</v>
      </c>
      <c r="R234" t="s">
        <v>31</v>
      </c>
      <c r="S234" t="s">
        <v>28</v>
      </c>
      <c r="T234" t="str">
        <f>"20371248"</f>
        <v>20371248</v>
      </c>
      <c r="U234" t="s">
        <v>812</v>
      </c>
      <c r="V234" t="s">
        <v>813</v>
      </c>
    </row>
    <row r="235" spans="1:22" x14ac:dyDescent="0.25">
      <c r="A235" t="str">
        <f t="shared" si="26"/>
        <v>10807</v>
      </c>
      <c r="B235" t="s">
        <v>723</v>
      </c>
      <c r="C235" t="s">
        <v>724</v>
      </c>
      <c r="D235" t="s">
        <v>814</v>
      </c>
      <c r="E235" t="s">
        <v>25</v>
      </c>
      <c r="F235" t="s">
        <v>26</v>
      </c>
      <c r="G235" t="str">
        <f t="shared" si="27"/>
        <v>37</v>
      </c>
      <c r="H235" t="str">
        <f t="shared" si="30"/>
        <v>11</v>
      </c>
      <c r="I235" t="s">
        <v>37</v>
      </c>
      <c r="J235">
        <v>20</v>
      </c>
      <c r="K235">
        <v>0</v>
      </c>
      <c r="L235" t="s">
        <v>28</v>
      </c>
      <c r="M235" t="s">
        <v>815</v>
      </c>
      <c r="N235">
        <v>1</v>
      </c>
      <c r="O235" t="str">
        <f t="shared" si="31"/>
        <v>722</v>
      </c>
      <c r="P235" t="s">
        <v>816</v>
      </c>
      <c r="Q235" t="s">
        <v>37</v>
      </c>
      <c r="R235" t="s">
        <v>31</v>
      </c>
      <c r="S235" t="s">
        <v>28</v>
      </c>
      <c r="T235" t="str">
        <f>"18431184"</f>
        <v>18431184</v>
      </c>
      <c r="U235" t="s">
        <v>817</v>
      </c>
      <c r="V235" t="s">
        <v>818</v>
      </c>
    </row>
    <row r="236" spans="1:22" x14ac:dyDescent="0.25">
      <c r="A236" t="str">
        <f t="shared" si="26"/>
        <v>10807</v>
      </c>
      <c r="B236" t="s">
        <v>723</v>
      </c>
      <c r="C236" t="s">
        <v>724</v>
      </c>
      <c r="D236" t="s">
        <v>819</v>
      </c>
      <c r="E236" t="s">
        <v>25</v>
      </c>
      <c r="F236" t="s">
        <v>26</v>
      </c>
      <c r="G236" t="str">
        <f t="shared" si="27"/>
        <v>37</v>
      </c>
      <c r="H236" t="str">
        <f t="shared" si="30"/>
        <v>11</v>
      </c>
      <c r="I236" t="s">
        <v>37</v>
      </c>
      <c r="J236">
        <v>25</v>
      </c>
      <c r="K236">
        <v>0</v>
      </c>
      <c r="L236" t="s">
        <v>28</v>
      </c>
      <c r="M236" t="s">
        <v>820</v>
      </c>
      <c r="N236">
        <v>1</v>
      </c>
      <c r="O236" t="str">
        <f t="shared" si="31"/>
        <v>722</v>
      </c>
      <c r="P236" t="s">
        <v>821</v>
      </c>
      <c r="Q236" t="s">
        <v>37</v>
      </c>
      <c r="R236" t="s">
        <v>31</v>
      </c>
      <c r="S236" t="s">
        <v>28</v>
      </c>
      <c r="T236" t="str">
        <f>"97958078"</f>
        <v>97958078</v>
      </c>
      <c r="U236" t="s">
        <v>822</v>
      </c>
      <c r="V236" t="s">
        <v>823</v>
      </c>
    </row>
    <row r="237" spans="1:22" x14ac:dyDescent="0.25">
      <c r="A237" t="str">
        <f t="shared" si="26"/>
        <v>10807</v>
      </c>
      <c r="B237" t="s">
        <v>723</v>
      </c>
      <c r="C237" t="s">
        <v>724</v>
      </c>
      <c r="D237" t="s">
        <v>824</v>
      </c>
      <c r="E237" t="s">
        <v>25</v>
      </c>
      <c r="F237" t="s">
        <v>26</v>
      </c>
      <c r="G237" t="str">
        <f t="shared" si="27"/>
        <v>37</v>
      </c>
      <c r="H237" t="str">
        <f t="shared" si="30"/>
        <v>11</v>
      </c>
      <c r="I237" t="s">
        <v>37</v>
      </c>
      <c r="J237">
        <v>15</v>
      </c>
      <c r="K237">
        <v>0</v>
      </c>
      <c r="L237" t="s">
        <v>28</v>
      </c>
      <c r="M237" t="s">
        <v>825</v>
      </c>
      <c r="N237">
        <v>1</v>
      </c>
      <c r="O237" t="str">
        <f t="shared" si="31"/>
        <v>722</v>
      </c>
      <c r="P237" t="s">
        <v>826</v>
      </c>
      <c r="Q237" t="s">
        <v>37</v>
      </c>
      <c r="R237" t="s">
        <v>31</v>
      </c>
      <c r="S237" t="s">
        <v>28</v>
      </c>
      <c r="T237" t="str">
        <f>"45672214"</f>
        <v>45672214</v>
      </c>
      <c r="U237" t="s">
        <v>827</v>
      </c>
      <c r="V237" t="s">
        <v>828</v>
      </c>
    </row>
    <row r="238" spans="1:22" x14ac:dyDescent="0.25">
      <c r="A238" t="str">
        <f t="shared" si="26"/>
        <v>10807</v>
      </c>
      <c r="B238" t="s">
        <v>723</v>
      </c>
      <c r="C238" t="s">
        <v>724</v>
      </c>
      <c r="D238" t="s">
        <v>829</v>
      </c>
      <c r="E238" t="s">
        <v>25</v>
      </c>
      <c r="F238" t="s">
        <v>26</v>
      </c>
      <c r="G238" t="str">
        <f t="shared" si="27"/>
        <v>37</v>
      </c>
      <c r="H238" t="str">
        <f t="shared" si="30"/>
        <v>11</v>
      </c>
      <c r="I238" t="s">
        <v>37</v>
      </c>
      <c r="J238">
        <v>15</v>
      </c>
      <c r="K238">
        <v>0</v>
      </c>
      <c r="L238" t="s">
        <v>28</v>
      </c>
      <c r="M238" t="s">
        <v>830</v>
      </c>
      <c r="N238">
        <v>1</v>
      </c>
      <c r="O238" t="str">
        <f t="shared" si="31"/>
        <v>722</v>
      </c>
      <c r="P238" t="s">
        <v>831</v>
      </c>
      <c r="Q238" t="s">
        <v>37</v>
      </c>
      <c r="R238" t="s">
        <v>31</v>
      </c>
      <c r="S238" t="s">
        <v>28</v>
      </c>
      <c r="T238" t="str">
        <f>"74869645"</f>
        <v>74869645</v>
      </c>
      <c r="U238" t="s">
        <v>832</v>
      </c>
      <c r="V238" t="s">
        <v>833</v>
      </c>
    </row>
    <row r="239" spans="1:22" x14ac:dyDescent="0.25">
      <c r="A239" t="str">
        <f t="shared" si="26"/>
        <v>10807</v>
      </c>
      <c r="B239" t="s">
        <v>723</v>
      </c>
      <c r="C239" t="s">
        <v>724</v>
      </c>
      <c r="D239" t="s">
        <v>834</v>
      </c>
      <c r="E239" t="s">
        <v>25</v>
      </c>
      <c r="F239" t="s">
        <v>26</v>
      </c>
      <c r="G239" t="str">
        <f t="shared" si="27"/>
        <v>37</v>
      </c>
      <c r="H239" t="str">
        <f>"10"</f>
        <v>10</v>
      </c>
      <c r="I239" t="s">
        <v>835</v>
      </c>
      <c r="J239">
        <v>9.9749999999999996</v>
      </c>
      <c r="K239">
        <v>0</v>
      </c>
      <c r="L239" t="s">
        <v>28</v>
      </c>
      <c r="M239" t="s">
        <v>836</v>
      </c>
      <c r="N239">
        <v>1</v>
      </c>
      <c r="O239" t="str">
        <f>"723"</f>
        <v>723</v>
      </c>
      <c r="P239" t="s">
        <v>837</v>
      </c>
      <c r="Q239" t="s">
        <v>835</v>
      </c>
      <c r="R239" t="s">
        <v>31</v>
      </c>
      <c r="S239" t="s">
        <v>28</v>
      </c>
      <c r="T239" t="str">
        <f>"49501403"</f>
        <v>49501403</v>
      </c>
      <c r="U239" t="s">
        <v>838</v>
      </c>
      <c r="V239" t="s">
        <v>839</v>
      </c>
    </row>
    <row r="240" spans="1:22" x14ac:dyDescent="0.25">
      <c r="A240" t="str">
        <f t="shared" si="26"/>
        <v>10807</v>
      </c>
      <c r="B240" t="s">
        <v>723</v>
      </c>
      <c r="C240" t="s">
        <v>724</v>
      </c>
      <c r="D240" t="s">
        <v>840</v>
      </c>
      <c r="E240" t="s">
        <v>25</v>
      </c>
      <c r="F240" t="s">
        <v>26</v>
      </c>
      <c r="G240" t="str">
        <f t="shared" si="27"/>
        <v>37</v>
      </c>
      <c r="H240" t="str">
        <f t="shared" ref="H240:H251" si="32">"11"</f>
        <v>11</v>
      </c>
      <c r="I240" t="s">
        <v>37</v>
      </c>
      <c r="J240">
        <v>30</v>
      </c>
      <c r="K240">
        <v>0</v>
      </c>
      <c r="L240" t="s">
        <v>28</v>
      </c>
      <c r="M240" t="s">
        <v>841</v>
      </c>
      <c r="N240">
        <v>1</v>
      </c>
      <c r="O240" t="str">
        <f t="shared" ref="O240:O251" si="33">"722"</f>
        <v>722</v>
      </c>
      <c r="P240" t="s">
        <v>842</v>
      </c>
      <c r="Q240" t="s">
        <v>37</v>
      </c>
      <c r="R240" t="s">
        <v>31</v>
      </c>
      <c r="S240" t="s">
        <v>28</v>
      </c>
      <c r="T240" t="str">
        <f>"98179227"</f>
        <v>98179227</v>
      </c>
      <c r="U240" t="s">
        <v>843</v>
      </c>
      <c r="V240" t="s">
        <v>844</v>
      </c>
    </row>
    <row r="241" spans="1:22" x14ac:dyDescent="0.25">
      <c r="A241" t="str">
        <f t="shared" si="26"/>
        <v>10807</v>
      </c>
      <c r="B241" t="s">
        <v>723</v>
      </c>
      <c r="C241" t="s">
        <v>724</v>
      </c>
      <c r="D241" t="s">
        <v>845</v>
      </c>
      <c r="E241" t="s">
        <v>25</v>
      </c>
      <c r="F241" t="s">
        <v>26</v>
      </c>
      <c r="G241" t="str">
        <f t="shared" si="27"/>
        <v>37</v>
      </c>
      <c r="H241" t="str">
        <f t="shared" si="32"/>
        <v>11</v>
      </c>
      <c r="I241" t="s">
        <v>37</v>
      </c>
      <c r="J241">
        <v>15</v>
      </c>
      <c r="K241">
        <v>0</v>
      </c>
      <c r="L241" t="s">
        <v>28</v>
      </c>
      <c r="M241" t="s">
        <v>846</v>
      </c>
      <c r="N241">
        <v>1</v>
      </c>
      <c r="O241" t="str">
        <f t="shared" si="33"/>
        <v>722</v>
      </c>
      <c r="P241" t="s">
        <v>847</v>
      </c>
      <c r="Q241" t="s">
        <v>37</v>
      </c>
      <c r="R241" t="s">
        <v>31</v>
      </c>
      <c r="S241" t="s">
        <v>28</v>
      </c>
      <c r="T241" t="str">
        <f>"99654380"</f>
        <v>99654380</v>
      </c>
      <c r="U241" t="s">
        <v>848</v>
      </c>
      <c r="V241" t="s">
        <v>849</v>
      </c>
    </row>
    <row r="242" spans="1:22" x14ac:dyDescent="0.25">
      <c r="A242" t="str">
        <f t="shared" si="26"/>
        <v>10807</v>
      </c>
      <c r="B242" t="s">
        <v>723</v>
      </c>
      <c r="C242" t="s">
        <v>724</v>
      </c>
      <c r="D242" t="s">
        <v>850</v>
      </c>
      <c r="E242" t="s">
        <v>25</v>
      </c>
      <c r="F242" t="s">
        <v>26</v>
      </c>
      <c r="G242" t="str">
        <f t="shared" si="27"/>
        <v>37</v>
      </c>
      <c r="H242" t="str">
        <f t="shared" si="32"/>
        <v>11</v>
      </c>
      <c r="I242" t="s">
        <v>37</v>
      </c>
      <c r="J242">
        <v>10</v>
      </c>
      <c r="K242">
        <v>0</v>
      </c>
      <c r="L242" t="s">
        <v>28</v>
      </c>
      <c r="M242" t="s">
        <v>851</v>
      </c>
      <c r="N242">
        <v>1</v>
      </c>
      <c r="O242" t="str">
        <f t="shared" si="33"/>
        <v>722</v>
      </c>
      <c r="P242" t="s">
        <v>852</v>
      </c>
      <c r="Q242" t="s">
        <v>37</v>
      </c>
      <c r="R242" t="s">
        <v>31</v>
      </c>
      <c r="S242" t="s">
        <v>28</v>
      </c>
      <c r="T242" t="str">
        <f>"21889278"</f>
        <v>21889278</v>
      </c>
      <c r="U242" t="s">
        <v>853</v>
      </c>
      <c r="V242" t="s">
        <v>854</v>
      </c>
    </row>
    <row r="243" spans="1:22" x14ac:dyDescent="0.25">
      <c r="A243" t="str">
        <f t="shared" si="26"/>
        <v>10807</v>
      </c>
      <c r="B243" t="s">
        <v>723</v>
      </c>
      <c r="C243" t="s">
        <v>724</v>
      </c>
      <c r="D243" t="s">
        <v>855</v>
      </c>
      <c r="E243" t="s">
        <v>25</v>
      </c>
      <c r="F243" t="s">
        <v>26</v>
      </c>
      <c r="G243" t="str">
        <f t="shared" si="27"/>
        <v>37</v>
      </c>
      <c r="H243" t="str">
        <f t="shared" si="32"/>
        <v>11</v>
      </c>
      <c r="I243" t="s">
        <v>37</v>
      </c>
      <c r="J243">
        <v>10</v>
      </c>
      <c r="K243">
        <v>0</v>
      </c>
      <c r="L243" t="s">
        <v>28</v>
      </c>
      <c r="M243" t="s">
        <v>856</v>
      </c>
      <c r="N243">
        <v>1</v>
      </c>
      <c r="O243" t="str">
        <f t="shared" si="33"/>
        <v>722</v>
      </c>
      <c r="P243" t="s">
        <v>857</v>
      </c>
      <c r="Q243" t="s">
        <v>37</v>
      </c>
      <c r="R243" t="s">
        <v>31</v>
      </c>
      <c r="S243" t="s">
        <v>28</v>
      </c>
      <c r="T243" t="str">
        <f>"74867956"</f>
        <v>74867956</v>
      </c>
      <c r="U243" t="s">
        <v>858</v>
      </c>
      <c r="V243" t="s">
        <v>849</v>
      </c>
    </row>
    <row r="244" spans="1:22" x14ac:dyDescent="0.25">
      <c r="A244" t="str">
        <f t="shared" si="26"/>
        <v>10807</v>
      </c>
      <c r="B244" t="s">
        <v>723</v>
      </c>
      <c r="C244" t="s">
        <v>724</v>
      </c>
      <c r="D244" t="s">
        <v>859</v>
      </c>
      <c r="E244" t="s">
        <v>25</v>
      </c>
      <c r="F244" t="s">
        <v>26</v>
      </c>
      <c r="G244" t="str">
        <f t="shared" si="27"/>
        <v>37</v>
      </c>
      <c r="H244" t="str">
        <f t="shared" si="32"/>
        <v>11</v>
      </c>
      <c r="I244" t="s">
        <v>37</v>
      </c>
      <c r="J244">
        <v>20</v>
      </c>
      <c r="K244">
        <v>0</v>
      </c>
      <c r="L244" t="s">
        <v>28</v>
      </c>
      <c r="M244" t="s">
        <v>860</v>
      </c>
      <c r="N244">
        <v>1</v>
      </c>
      <c r="O244" t="str">
        <f t="shared" si="33"/>
        <v>722</v>
      </c>
      <c r="P244" t="s">
        <v>861</v>
      </c>
      <c r="Q244" t="s">
        <v>37</v>
      </c>
      <c r="R244" t="s">
        <v>31</v>
      </c>
      <c r="S244" t="s">
        <v>28</v>
      </c>
      <c r="T244" t="str">
        <f>"66843312"</f>
        <v>66843312</v>
      </c>
      <c r="U244" t="s">
        <v>862</v>
      </c>
      <c r="V244" t="s">
        <v>863</v>
      </c>
    </row>
    <row r="245" spans="1:22" x14ac:dyDescent="0.25">
      <c r="A245" t="str">
        <f t="shared" si="26"/>
        <v>10807</v>
      </c>
      <c r="B245" t="s">
        <v>723</v>
      </c>
      <c r="C245" t="s">
        <v>724</v>
      </c>
      <c r="D245" t="s">
        <v>864</v>
      </c>
      <c r="E245" t="s">
        <v>25</v>
      </c>
      <c r="F245" t="s">
        <v>26</v>
      </c>
      <c r="G245" t="str">
        <f t="shared" si="27"/>
        <v>37</v>
      </c>
      <c r="H245" t="str">
        <f t="shared" si="32"/>
        <v>11</v>
      </c>
      <c r="I245" t="s">
        <v>37</v>
      </c>
      <c r="J245">
        <v>10</v>
      </c>
      <c r="K245">
        <v>0</v>
      </c>
      <c r="L245" t="s">
        <v>28</v>
      </c>
      <c r="M245" t="s">
        <v>865</v>
      </c>
      <c r="N245">
        <v>1</v>
      </c>
      <c r="O245" t="str">
        <f t="shared" si="33"/>
        <v>722</v>
      </c>
      <c r="P245" t="s">
        <v>866</v>
      </c>
      <c r="Q245" t="s">
        <v>37</v>
      </c>
      <c r="R245" t="s">
        <v>31</v>
      </c>
      <c r="S245" t="s">
        <v>28</v>
      </c>
      <c r="T245" t="str">
        <f>"13545716"</f>
        <v>13545716</v>
      </c>
      <c r="U245" t="s">
        <v>867</v>
      </c>
      <c r="V245" t="s">
        <v>868</v>
      </c>
    </row>
    <row r="246" spans="1:22" x14ac:dyDescent="0.25">
      <c r="A246" t="str">
        <f t="shared" si="26"/>
        <v>10807</v>
      </c>
      <c r="B246" t="s">
        <v>723</v>
      </c>
      <c r="C246" t="s">
        <v>724</v>
      </c>
      <c r="D246" t="s">
        <v>869</v>
      </c>
      <c r="E246" t="s">
        <v>25</v>
      </c>
      <c r="F246" t="s">
        <v>26</v>
      </c>
      <c r="G246" t="str">
        <f t="shared" si="27"/>
        <v>37</v>
      </c>
      <c r="H246" t="str">
        <f t="shared" si="32"/>
        <v>11</v>
      </c>
      <c r="I246" t="s">
        <v>37</v>
      </c>
      <c r="J246">
        <v>15</v>
      </c>
      <c r="K246">
        <v>0</v>
      </c>
      <c r="L246" t="s">
        <v>28</v>
      </c>
      <c r="M246" t="s">
        <v>870</v>
      </c>
      <c r="N246">
        <v>1</v>
      </c>
      <c r="O246" t="str">
        <f t="shared" si="33"/>
        <v>722</v>
      </c>
      <c r="P246" t="s">
        <v>871</v>
      </c>
      <c r="Q246" t="s">
        <v>37</v>
      </c>
      <c r="R246" t="s">
        <v>31</v>
      </c>
      <c r="S246" t="s">
        <v>28</v>
      </c>
      <c r="T246" t="str">
        <f>"19305328"</f>
        <v>19305328</v>
      </c>
      <c r="U246" t="s">
        <v>872</v>
      </c>
      <c r="V246" t="s">
        <v>873</v>
      </c>
    </row>
    <row r="247" spans="1:22" x14ac:dyDescent="0.25">
      <c r="A247" t="str">
        <f t="shared" si="26"/>
        <v>10807</v>
      </c>
      <c r="B247" t="s">
        <v>723</v>
      </c>
      <c r="C247" t="s">
        <v>724</v>
      </c>
      <c r="D247" t="s">
        <v>874</v>
      </c>
      <c r="E247" t="s">
        <v>25</v>
      </c>
      <c r="F247" t="s">
        <v>26</v>
      </c>
      <c r="G247" t="str">
        <f t="shared" si="27"/>
        <v>37</v>
      </c>
      <c r="H247" t="str">
        <f t="shared" si="32"/>
        <v>11</v>
      </c>
      <c r="I247" t="s">
        <v>37</v>
      </c>
      <c r="J247">
        <v>20</v>
      </c>
      <c r="K247">
        <v>0</v>
      </c>
      <c r="L247" t="s">
        <v>28</v>
      </c>
      <c r="M247" t="s">
        <v>875</v>
      </c>
      <c r="N247">
        <v>1</v>
      </c>
      <c r="O247" t="str">
        <f t="shared" si="33"/>
        <v>722</v>
      </c>
      <c r="P247" t="s">
        <v>876</v>
      </c>
      <c r="Q247" t="s">
        <v>37</v>
      </c>
      <c r="R247" t="s">
        <v>31</v>
      </c>
      <c r="S247" t="s">
        <v>28</v>
      </c>
      <c r="T247" t="str">
        <f>"81385758"</f>
        <v>81385758</v>
      </c>
      <c r="U247" t="s">
        <v>877</v>
      </c>
      <c r="V247" t="s">
        <v>878</v>
      </c>
    </row>
    <row r="248" spans="1:22" x14ac:dyDescent="0.25">
      <c r="A248" t="str">
        <f t="shared" si="26"/>
        <v>10807</v>
      </c>
      <c r="B248" t="s">
        <v>723</v>
      </c>
      <c r="C248" t="s">
        <v>724</v>
      </c>
      <c r="D248" t="s">
        <v>879</v>
      </c>
      <c r="E248" t="s">
        <v>25</v>
      </c>
      <c r="F248" t="s">
        <v>26</v>
      </c>
      <c r="G248" t="str">
        <f t="shared" si="27"/>
        <v>37</v>
      </c>
      <c r="H248" t="str">
        <f t="shared" si="32"/>
        <v>11</v>
      </c>
      <c r="I248" t="s">
        <v>37</v>
      </c>
      <c r="J248">
        <v>20</v>
      </c>
      <c r="K248">
        <v>0</v>
      </c>
      <c r="L248" t="s">
        <v>28</v>
      </c>
      <c r="M248" t="s">
        <v>880</v>
      </c>
      <c r="N248">
        <v>1</v>
      </c>
      <c r="O248" t="str">
        <f t="shared" si="33"/>
        <v>722</v>
      </c>
      <c r="P248" t="s">
        <v>881</v>
      </c>
      <c r="Q248" t="s">
        <v>37</v>
      </c>
      <c r="R248" t="s">
        <v>31</v>
      </c>
      <c r="S248" t="s">
        <v>28</v>
      </c>
      <c r="T248" t="str">
        <f>"45646271"</f>
        <v>45646271</v>
      </c>
      <c r="U248" t="s">
        <v>882</v>
      </c>
      <c r="V248" t="s">
        <v>883</v>
      </c>
    </row>
    <row r="249" spans="1:22" x14ac:dyDescent="0.25">
      <c r="A249" t="str">
        <f t="shared" si="26"/>
        <v>10807</v>
      </c>
      <c r="B249" t="s">
        <v>723</v>
      </c>
      <c r="C249" t="s">
        <v>724</v>
      </c>
      <c r="D249" t="s">
        <v>884</v>
      </c>
      <c r="E249" t="s">
        <v>25</v>
      </c>
      <c r="F249" t="s">
        <v>26</v>
      </c>
      <c r="G249" t="str">
        <f t="shared" si="27"/>
        <v>37</v>
      </c>
      <c r="H249" t="str">
        <f t="shared" si="32"/>
        <v>11</v>
      </c>
      <c r="I249" t="s">
        <v>37</v>
      </c>
      <c r="J249">
        <v>15</v>
      </c>
      <c r="K249">
        <v>0</v>
      </c>
      <c r="L249" t="s">
        <v>28</v>
      </c>
      <c r="M249" t="s">
        <v>885</v>
      </c>
      <c r="N249">
        <v>1</v>
      </c>
      <c r="O249" t="str">
        <f t="shared" si="33"/>
        <v>722</v>
      </c>
      <c r="P249" t="s">
        <v>886</v>
      </c>
      <c r="Q249" t="s">
        <v>37</v>
      </c>
      <c r="R249" t="s">
        <v>31</v>
      </c>
      <c r="S249" t="s">
        <v>28</v>
      </c>
      <c r="T249" t="str">
        <f>"95817572"</f>
        <v>95817572</v>
      </c>
      <c r="U249" t="s">
        <v>887</v>
      </c>
      <c r="V249" t="s">
        <v>888</v>
      </c>
    </row>
    <row r="250" spans="1:22" x14ac:dyDescent="0.25">
      <c r="A250" t="str">
        <f t="shared" si="26"/>
        <v>10807</v>
      </c>
      <c r="B250" t="s">
        <v>723</v>
      </c>
      <c r="C250" t="s">
        <v>724</v>
      </c>
      <c r="D250" t="s">
        <v>889</v>
      </c>
      <c r="E250" t="s">
        <v>25</v>
      </c>
      <c r="F250" t="s">
        <v>26</v>
      </c>
      <c r="G250" t="str">
        <f t="shared" si="27"/>
        <v>37</v>
      </c>
      <c r="H250" t="str">
        <f t="shared" si="32"/>
        <v>11</v>
      </c>
      <c r="I250" t="s">
        <v>37</v>
      </c>
      <c r="J250">
        <v>20</v>
      </c>
      <c r="K250">
        <v>0</v>
      </c>
      <c r="L250" t="s">
        <v>28</v>
      </c>
      <c r="M250" t="s">
        <v>890</v>
      </c>
      <c r="N250">
        <v>1</v>
      </c>
      <c r="O250" t="str">
        <f t="shared" si="33"/>
        <v>722</v>
      </c>
      <c r="P250" t="s">
        <v>891</v>
      </c>
      <c r="Q250" t="s">
        <v>37</v>
      </c>
      <c r="R250" t="s">
        <v>31</v>
      </c>
      <c r="S250" t="s">
        <v>28</v>
      </c>
      <c r="T250" t="str">
        <f>"26821185"</f>
        <v>26821185</v>
      </c>
      <c r="U250" t="s">
        <v>892</v>
      </c>
      <c r="V250" t="s">
        <v>893</v>
      </c>
    </row>
    <row r="251" spans="1:22" x14ac:dyDescent="0.25">
      <c r="A251" t="str">
        <f t="shared" si="26"/>
        <v>10807</v>
      </c>
      <c r="B251" t="s">
        <v>723</v>
      </c>
      <c r="C251" t="s">
        <v>724</v>
      </c>
      <c r="D251" t="s">
        <v>894</v>
      </c>
      <c r="E251" t="s">
        <v>25</v>
      </c>
      <c r="F251" t="s">
        <v>26</v>
      </c>
      <c r="G251" t="str">
        <f t="shared" si="27"/>
        <v>37</v>
      </c>
      <c r="H251" t="str">
        <f t="shared" si="32"/>
        <v>11</v>
      </c>
      <c r="I251" t="s">
        <v>37</v>
      </c>
      <c r="J251">
        <v>20</v>
      </c>
      <c r="K251">
        <v>0</v>
      </c>
      <c r="L251" t="s">
        <v>28</v>
      </c>
      <c r="M251" t="s">
        <v>895</v>
      </c>
      <c r="N251">
        <v>1</v>
      </c>
      <c r="O251" t="str">
        <f t="shared" si="33"/>
        <v>722</v>
      </c>
      <c r="P251" t="s">
        <v>896</v>
      </c>
      <c r="Q251" t="s">
        <v>37</v>
      </c>
      <c r="R251" t="s">
        <v>31</v>
      </c>
      <c r="S251" t="s">
        <v>28</v>
      </c>
      <c r="T251" t="str">
        <f>"09173328"</f>
        <v>09173328</v>
      </c>
      <c r="U251" t="s">
        <v>897</v>
      </c>
      <c r="V251" t="s">
        <v>898</v>
      </c>
    </row>
    <row r="252" spans="1:22" x14ac:dyDescent="0.25">
      <c r="A252" t="str">
        <f t="shared" si="26"/>
        <v>10807</v>
      </c>
      <c r="B252" t="s">
        <v>723</v>
      </c>
      <c r="C252" t="s">
        <v>724</v>
      </c>
      <c r="D252" t="s">
        <v>899</v>
      </c>
      <c r="E252" t="s">
        <v>25</v>
      </c>
      <c r="F252" t="s">
        <v>26</v>
      </c>
      <c r="G252" t="str">
        <f t="shared" si="27"/>
        <v>37</v>
      </c>
      <c r="H252" t="str">
        <f>"10"</f>
        <v>10</v>
      </c>
      <c r="I252" t="s">
        <v>37</v>
      </c>
      <c r="J252">
        <v>50</v>
      </c>
      <c r="K252">
        <v>0</v>
      </c>
      <c r="L252" t="s">
        <v>28</v>
      </c>
      <c r="M252" t="s">
        <v>900</v>
      </c>
      <c r="N252">
        <v>1</v>
      </c>
      <c r="O252" t="str">
        <f>"723"</f>
        <v>723</v>
      </c>
      <c r="P252" t="s">
        <v>901</v>
      </c>
      <c r="Q252" t="s">
        <v>37</v>
      </c>
      <c r="R252" t="s">
        <v>31</v>
      </c>
      <c r="S252" t="s">
        <v>28</v>
      </c>
      <c r="T252" t="str">
        <f>"49507309"</f>
        <v>49507309</v>
      </c>
      <c r="U252" t="s">
        <v>902</v>
      </c>
      <c r="V252" t="s">
        <v>903</v>
      </c>
    </row>
    <row r="253" spans="1:22" x14ac:dyDescent="0.25">
      <c r="A253" t="str">
        <f t="shared" si="26"/>
        <v>10807</v>
      </c>
      <c r="B253" t="s">
        <v>723</v>
      </c>
      <c r="C253" t="s">
        <v>724</v>
      </c>
      <c r="D253" t="s">
        <v>904</v>
      </c>
      <c r="E253" t="s">
        <v>25</v>
      </c>
      <c r="F253" t="s">
        <v>26</v>
      </c>
      <c r="G253" t="str">
        <f t="shared" si="27"/>
        <v>37</v>
      </c>
      <c r="H253" t="str">
        <f>"11"</f>
        <v>11</v>
      </c>
      <c r="I253" t="s">
        <v>37</v>
      </c>
      <c r="J253">
        <v>20</v>
      </c>
      <c r="K253">
        <v>0</v>
      </c>
      <c r="L253" t="s">
        <v>28</v>
      </c>
      <c r="M253" t="s">
        <v>905</v>
      </c>
      <c r="N253">
        <v>1</v>
      </c>
      <c r="O253" t="str">
        <f>"722"</f>
        <v>722</v>
      </c>
      <c r="P253" t="s">
        <v>906</v>
      </c>
      <c r="Q253" t="s">
        <v>37</v>
      </c>
      <c r="R253" t="s">
        <v>31</v>
      </c>
      <c r="S253" t="s">
        <v>28</v>
      </c>
      <c r="T253" t="str">
        <f>"25346867"</f>
        <v>25346867</v>
      </c>
      <c r="U253" t="s">
        <v>907</v>
      </c>
      <c r="V253" t="s">
        <v>908</v>
      </c>
    </row>
    <row r="254" spans="1:22" x14ac:dyDescent="0.25">
      <c r="A254" t="str">
        <f t="shared" ref="A254:A317" si="34">"10807"</f>
        <v>10807</v>
      </c>
      <c r="B254" t="s">
        <v>723</v>
      </c>
      <c r="C254" t="s">
        <v>724</v>
      </c>
      <c r="D254" t="s">
        <v>909</v>
      </c>
      <c r="E254" t="s">
        <v>25</v>
      </c>
      <c r="F254" t="s">
        <v>26</v>
      </c>
      <c r="G254" t="str">
        <f t="shared" ref="G254:G317" si="35">"37"</f>
        <v>37</v>
      </c>
      <c r="H254" t="str">
        <f>"11"</f>
        <v>11</v>
      </c>
      <c r="I254" t="s">
        <v>37</v>
      </c>
      <c r="J254">
        <v>30</v>
      </c>
      <c r="K254">
        <v>0</v>
      </c>
      <c r="L254" t="s">
        <v>28</v>
      </c>
      <c r="M254" t="s">
        <v>910</v>
      </c>
      <c r="N254">
        <v>1</v>
      </c>
      <c r="O254" t="str">
        <f>"722"</f>
        <v>722</v>
      </c>
      <c r="P254" t="s">
        <v>881</v>
      </c>
      <c r="Q254" t="s">
        <v>37</v>
      </c>
      <c r="R254" t="s">
        <v>31</v>
      </c>
      <c r="S254" t="s">
        <v>28</v>
      </c>
      <c r="T254" t="str">
        <f>"45646271"</f>
        <v>45646271</v>
      </c>
      <c r="U254" t="s">
        <v>882</v>
      </c>
      <c r="V254" t="s">
        <v>883</v>
      </c>
    </row>
    <row r="255" spans="1:22" x14ac:dyDescent="0.25">
      <c r="A255" t="str">
        <f t="shared" si="34"/>
        <v>10807</v>
      </c>
      <c r="B255" t="s">
        <v>723</v>
      </c>
      <c r="C255" t="s">
        <v>724</v>
      </c>
      <c r="D255" t="s">
        <v>911</v>
      </c>
      <c r="E255" t="s">
        <v>25</v>
      </c>
      <c r="F255" t="s">
        <v>26</v>
      </c>
      <c r="G255" t="str">
        <f t="shared" si="35"/>
        <v>37</v>
      </c>
      <c r="H255" t="str">
        <f>"11"</f>
        <v>11</v>
      </c>
      <c r="I255" t="s">
        <v>27</v>
      </c>
      <c r="J255">
        <v>20</v>
      </c>
      <c r="K255">
        <v>0</v>
      </c>
      <c r="L255" t="s">
        <v>28</v>
      </c>
      <c r="M255" t="s">
        <v>912</v>
      </c>
      <c r="N255">
        <v>1</v>
      </c>
      <c r="O255" t="str">
        <f>"722"</f>
        <v>722</v>
      </c>
      <c r="P255" t="s">
        <v>913</v>
      </c>
      <c r="Q255" t="s">
        <v>27</v>
      </c>
      <c r="R255" t="s">
        <v>31</v>
      </c>
      <c r="S255" t="s">
        <v>28</v>
      </c>
      <c r="T255" t="str">
        <f>"45466848"</f>
        <v>45466848</v>
      </c>
      <c r="U255" t="s">
        <v>914</v>
      </c>
      <c r="V255" t="s">
        <v>915</v>
      </c>
    </row>
    <row r="256" spans="1:22" x14ac:dyDescent="0.25">
      <c r="A256" t="str">
        <f t="shared" si="34"/>
        <v>10807</v>
      </c>
      <c r="B256" t="s">
        <v>723</v>
      </c>
      <c r="C256" t="s">
        <v>724</v>
      </c>
      <c r="D256" t="s">
        <v>916</v>
      </c>
      <c r="E256" t="s">
        <v>25</v>
      </c>
      <c r="F256" t="s">
        <v>26</v>
      </c>
      <c r="G256" t="str">
        <f t="shared" si="35"/>
        <v>37</v>
      </c>
      <c r="H256" t="str">
        <f>"12"</f>
        <v>12</v>
      </c>
      <c r="I256" t="s">
        <v>37</v>
      </c>
      <c r="J256">
        <v>30</v>
      </c>
      <c r="K256">
        <v>0</v>
      </c>
      <c r="L256" t="s">
        <v>28</v>
      </c>
      <c r="M256" t="s">
        <v>917</v>
      </c>
      <c r="N256">
        <v>1</v>
      </c>
      <c r="O256" t="str">
        <f>"723"</f>
        <v>723</v>
      </c>
      <c r="P256" t="s">
        <v>732</v>
      </c>
      <c r="Q256" t="s">
        <v>37</v>
      </c>
      <c r="R256" t="s">
        <v>31</v>
      </c>
      <c r="S256" t="s">
        <v>28</v>
      </c>
      <c r="T256" t="str">
        <f>"49504703"</f>
        <v>49504703</v>
      </c>
      <c r="U256" t="s">
        <v>733</v>
      </c>
      <c r="V256" t="s">
        <v>734</v>
      </c>
    </row>
    <row r="257" spans="1:22" x14ac:dyDescent="0.25">
      <c r="A257" t="str">
        <f t="shared" si="34"/>
        <v>10807</v>
      </c>
      <c r="B257" t="s">
        <v>723</v>
      </c>
      <c r="C257" t="s">
        <v>724</v>
      </c>
      <c r="D257" t="s">
        <v>918</v>
      </c>
      <c r="E257" t="s">
        <v>25</v>
      </c>
      <c r="F257" t="s">
        <v>26</v>
      </c>
      <c r="G257" t="str">
        <f t="shared" si="35"/>
        <v>37</v>
      </c>
      <c r="H257" t="str">
        <f>"11"</f>
        <v>11</v>
      </c>
      <c r="I257" t="s">
        <v>37</v>
      </c>
      <c r="J257">
        <v>20</v>
      </c>
      <c r="K257">
        <v>0</v>
      </c>
      <c r="L257" t="s">
        <v>28</v>
      </c>
      <c r="M257" t="s">
        <v>919</v>
      </c>
      <c r="N257">
        <v>1</v>
      </c>
      <c r="O257" t="str">
        <f>"722"</f>
        <v>722</v>
      </c>
      <c r="P257" t="s">
        <v>920</v>
      </c>
      <c r="Q257" t="s">
        <v>37</v>
      </c>
      <c r="R257" t="s">
        <v>31</v>
      </c>
      <c r="S257" t="s">
        <v>28</v>
      </c>
      <c r="T257" t="str">
        <f>"45349238"</f>
        <v>45349238</v>
      </c>
      <c r="U257" t="s">
        <v>921</v>
      </c>
      <c r="V257" t="s">
        <v>922</v>
      </c>
    </row>
    <row r="258" spans="1:22" x14ac:dyDescent="0.25">
      <c r="A258" t="str">
        <f t="shared" si="34"/>
        <v>10807</v>
      </c>
      <c r="B258" t="s">
        <v>723</v>
      </c>
      <c r="C258" t="s">
        <v>724</v>
      </c>
      <c r="D258" t="s">
        <v>923</v>
      </c>
      <c r="E258" t="s">
        <v>25</v>
      </c>
      <c r="F258" t="s">
        <v>26</v>
      </c>
      <c r="G258" t="str">
        <f t="shared" si="35"/>
        <v>37</v>
      </c>
      <c r="H258" t="str">
        <f>"11"</f>
        <v>11</v>
      </c>
      <c r="I258" t="s">
        <v>37</v>
      </c>
      <c r="J258">
        <v>10</v>
      </c>
      <c r="K258">
        <v>0</v>
      </c>
      <c r="L258" t="s">
        <v>28</v>
      </c>
      <c r="M258" t="s">
        <v>924</v>
      </c>
      <c r="N258">
        <v>1</v>
      </c>
      <c r="O258" t="str">
        <f>"722"</f>
        <v>722</v>
      </c>
      <c r="P258" t="s">
        <v>925</v>
      </c>
      <c r="Q258" t="s">
        <v>37</v>
      </c>
      <c r="R258" t="s">
        <v>31</v>
      </c>
      <c r="S258" t="s">
        <v>28</v>
      </c>
      <c r="T258" t="str">
        <f>"45457284"</f>
        <v>45457284</v>
      </c>
      <c r="U258" t="s">
        <v>926</v>
      </c>
      <c r="V258" t="s">
        <v>927</v>
      </c>
    </row>
    <row r="259" spans="1:22" x14ac:dyDescent="0.25">
      <c r="A259" t="str">
        <f t="shared" si="34"/>
        <v>10807</v>
      </c>
      <c r="B259" t="s">
        <v>723</v>
      </c>
      <c r="C259" t="s">
        <v>724</v>
      </c>
      <c r="D259" t="s">
        <v>928</v>
      </c>
      <c r="E259" t="s">
        <v>25</v>
      </c>
      <c r="F259" t="s">
        <v>26</v>
      </c>
      <c r="G259" t="str">
        <f t="shared" si="35"/>
        <v>37</v>
      </c>
      <c r="H259" t="str">
        <f>"11"</f>
        <v>11</v>
      </c>
      <c r="I259" t="s">
        <v>37</v>
      </c>
      <c r="J259">
        <v>20</v>
      </c>
      <c r="K259">
        <v>0</v>
      </c>
      <c r="L259" t="s">
        <v>28</v>
      </c>
      <c r="M259" t="s">
        <v>929</v>
      </c>
      <c r="N259">
        <v>1</v>
      </c>
      <c r="O259" t="str">
        <f>"722"</f>
        <v>722</v>
      </c>
      <c r="P259" t="s">
        <v>930</v>
      </c>
      <c r="Q259" t="s">
        <v>37</v>
      </c>
      <c r="R259" t="s">
        <v>31</v>
      </c>
      <c r="S259" t="s">
        <v>28</v>
      </c>
      <c r="T259" t="str">
        <f>"14294619"</f>
        <v>14294619</v>
      </c>
      <c r="U259" t="s">
        <v>931</v>
      </c>
      <c r="V259" t="s">
        <v>932</v>
      </c>
    </row>
    <row r="260" spans="1:22" x14ac:dyDescent="0.25">
      <c r="A260" t="str">
        <f t="shared" si="34"/>
        <v>10807</v>
      </c>
      <c r="B260" t="s">
        <v>723</v>
      </c>
      <c r="C260" t="s">
        <v>724</v>
      </c>
      <c r="D260" t="s">
        <v>933</v>
      </c>
      <c r="E260" t="s">
        <v>25</v>
      </c>
      <c r="F260" t="s">
        <v>26</v>
      </c>
      <c r="G260" t="str">
        <f t="shared" si="35"/>
        <v>37</v>
      </c>
      <c r="H260" t="str">
        <f>"11"</f>
        <v>11</v>
      </c>
      <c r="I260" t="s">
        <v>37</v>
      </c>
      <c r="J260">
        <v>20</v>
      </c>
      <c r="K260">
        <v>0</v>
      </c>
      <c r="L260" t="s">
        <v>28</v>
      </c>
      <c r="M260" t="s">
        <v>934</v>
      </c>
      <c r="N260">
        <v>1</v>
      </c>
      <c r="O260" t="str">
        <f>"722"</f>
        <v>722</v>
      </c>
      <c r="P260" t="s">
        <v>935</v>
      </c>
      <c r="Q260" t="s">
        <v>37</v>
      </c>
      <c r="R260" t="s">
        <v>31</v>
      </c>
      <c r="S260" t="s">
        <v>28</v>
      </c>
      <c r="T260" t="str">
        <f>"95810389"</f>
        <v>95810389</v>
      </c>
      <c r="U260" t="s">
        <v>936</v>
      </c>
      <c r="V260" t="s">
        <v>937</v>
      </c>
    </row>
    <row r="261" spans="1:22" x14ac:dyDescent="0.25">
      <c r="A261" t="str">
        <f t="shared" si="34"/>
        <v>10807</v>
      </c>
      <c r="B261" t="s">
        <v>723</v>
      </c>
      <c r="C261" t="s">
        <v>724</v>
      </c>
      <c r="D261" t="s">
        <v>938</v>
      </c>
      <c r="E261" t="s">
        <v>25</v>
      </c>
      <c r="F261" t="s">
        <v>26</v>
      </c>
      <c r="G261" t="str">
        <f t="shared" si="35"/>
        <v>37</v>
      </c>
      <c r="H261" t="str">
        <f>"11"</f>
        <v>11</v>
      </c>
      <c r="I261" t="s">
        <v>763</v>
      </c>
      <c r="J261">
        <v>20</v>
      </c>
      <c r="K261">
        <v>0</v>
      </c>
      <c r="L261" t="s">
        <v>28</v>
      </c>
      <c r="M261" t="s">
        <v>939</v>
      </c>
      <c r="N261">
        <v>1</v>
      </c>
      <c r="O261" t="str">
        <f>"722"</f>
        <v>722</v>
      </c>
      <c r="P261" t="s">
        <v>940</v>
      </c>
      <c r="Q261" t="s">
        <v>763</v>
      </c>
      <c r="R261" t="s">
        <v>31</v>
      </c>
      <c r="S261" t="s">
        <v>28</v>
      </c>
      <c r="T261" t="str">
        <f>"95811303"</f>
        <v>95811303</v>
      </c>
      <c r="U261" t="s">
        <v>941</v>
      </c>
      <c r="V261" t="s">
        <v>942</v>
      </c>
    </row>
    <row r="262" spans="1:22" x14ac:dyDescent="0.25">
      <c r="A262" t="str">
        <f t="shared" si="34"/>
        <v>10807</v>
      </c>
      <c r="B262" t="s">
        <v>723</v>
      </c>
      <c r="C262" t="s">
        <v>724</v>
      </c>
      <c r="D262" t="s">
        <v>943</v>
      </c>
      <c r="E262" t="s">
        <v>25</v>
      </c>
      <c r="F262" t="s">
        <v>26</v>
      </c>
      <c r="G262" t="str">
        <f t="shared" si="35"/>
        <v>37</v>
      </c>
      <c r="H262" t="str">
        <f>"10"</f>
        <v>10</v>
      </c>
      <c r="I262" t="s">
        <v>37</v>
      </c>
      <c r="J262">
        <v>47.104999999999997</v>
      </c>
      <c r="K262">
        <v>0</v>
      </c>
      <c r="L262" t="s">
        <v>28</v>
      </c>
      <c r="M262" t="s">
        <v>945</v>
      </c>
      <c r="N262">
        <v>1</v>
      </c>
      <c r="O262" t="str">
        <f>"723"</f>
        <v>723</v>
      </c>
      <c r="P262" t="s">
        <v>946</v>
      </c>
      <c r="Q262" t="s">
        <v>37</v>
      </c>
      <c r="R262" t="s">
        <v>31</v>
      </c>
      <c r="S262" t="s">
        <v>28</v>
      </c>
      <c r="T262" t="str">
        <f>"49503900"</f>
        <v>49503900</v>
      </c>
      <c r="U262" t="s">
        <v>947</v>
      </c>
      <c r="V262" t="s">
        <v>948</v>
      </c>
    </row>
    <row r="263" spans="1:22" x14ac:dyDescent="0.25">
      <c r="A263" t="str">
        <f t="shared" si="34"/>
        <v>10807</v>
      </c>
      <c r="B263" t="s">
        <v>723</v>
      </c>
      <c r="C263" t="s">
        <v>724</v>
      </c>
      <c r="D263" t="s">
        <v>949</v>
      </c>
      <c r="E263" t="s">
        <v>25</v>
      </c>
      <c r="F263" t="s">
        <v>26</v>
      </c>
      <c r="G263" t="str">
        <f t="shared" si="35"/>
        <v>37</v>
      </c>
      <c r="H263" t="str">
        <f>"11"</f>
        <v>11</v>
      </c>
      <c r="I263" t="s">
        <v>37</v>
      </c>
      <c r="J263">
        <v>30</v>
      </c>
      <c r="K263">
        <v>0</v>
      </c>
      <c r="L263" t="s">
        <v>28</v>
      </c>
      <c r="M263" t="s">
        <v>950</v>
      </c>
      <c r="N263">
        <v>1</v>
      </c>
      <c r="O263" t="str">
        <f>"722"</f>
        <v>722</v>
      </c>
      <c r="P263" t="s">
        <v>951</v>
      </c>
      <c r="Q263" t="s">
        <v>37</v>
      </c>
      <c r="R263" t="s">
        <v>31</v>
      </c>
      <c r="S263" t="s">
        <v>28</v>
      </c>
      <c r="T263" t="str">
        <f>"47569026"</f>
        <v>47569026</v>
      </c>
      <c r="U263" t="s">
        <v>952</v>
      </c>
      <c r="V263" t="s">
        <v>953</v>
      </c>
    </row>
    <row r="264" spans="1:22" x14ac:dyDescent="0.25">
      <c r="A264" t="str">
        <f t="shared" si="34"/>
        <v>10807</v>
      </c>
      <c r="B264" t="s">
        <v>723</v>
      </c>
      <c r="C264" t="s">
        <v>724</v>
      </c>
      <c r="D264" t="s">
        <v>954</v>
      </c>
      <c r="E264" t="s">
        <v>25</v>
      </c>
      <c r="F264" t="s">
        <v>26</v>
      </c>
      <c r="G264" t="str">
        <f t="shared" si="35"/>
        <v>37</v>
      </c>
      <c r="H264" t="str">
        <f>"11"</f>
        <v>11</v>
      </c>
      <c r="I264" t="s">
        <v>37</v>
      </c>
      <c r="J264">
        <v>20</v>
      </c>
      <c r="K264">
        <v>0</v>
      </c>
      <c r="L264" t="s">
        <v>28</v>
      </c>
      <c r="M264" t="s">
        <v>955</v>
      </c>
      <c r="N264">
        <v>1</v>
      </c>
      <c r="O264" t="str">
        <f>"722"</f>
        <v>722</v>
      </c>
      <c r="P264" t="s">
        <v>956</v>
      </c>
      <c r="Q264" t="s">
        <v>37</v>
      </c>
      <c r="R264" t="s">
        <v>31</v>
      </c>
      <c r="S264" t="s">
        <v>28</v>
      </c>
      <c r="T264" t="str">
        <f>"95837583"</f>
        <v>95837583</v>
      </c>
      <c r="U264" t="s">
        <v>957</v>
      </c>
      <c r="V264" t="s">
        <v>958</v>
      </c>
    </row>
    <row r="265" spans="1:22" x14ac:dyDescent="0.25">
      <c r="A265" t="str">
        <f t="shared" si="34"/>
        <v>10807</v>
      </c>
      <c r="B265" t="s">
        <v>723</v>
      </c>
      <c r="C265" t="s">
        <v>724</v>
      </c>
      <c r="D265" t="s">
        <v>959</v>
      </c>
      <c r="E265" t="s">
        <v>25</v>
      </c>
      <c r="F265" t="s">
        <v>26</v>
      </c>
      <c r="G265" t="str">
        <f t="shared" si="35"/>
        <v>37</v>
      </c>
      <c r="H265" t="str">
        <f>"10"</f>
        <v>10</v>
      </c>
      <c r="I265" t="s">
        <v>835</v>
      </c>
      <c r="J265">
        <v>57.53</v>
      </c>
      <c r="K265">
        <v>0</v>
      </c>
      <c r="L265" t="s">
        <v>28</v>
      </c>
      <c r="M265" t="s">
        <v>960</v>
      </c>
      <c r="N265">
        <v>1</v>
      </c>
      <c r="O265" t="str">
        <f>"723"</f>
        <v>723</v>
      </c>
      <c r="P265" t="s">
        <v>837</v>
      </c>
      <c r="Q265" t="s">
        <v>835</v>
      </c>
      <c r="R265" t="s">
        <v>31</v>
      </c>
      <c r="S265" t="s">
        <v>28</v>
      </c>
      <c r="T265" t="str">
        <f>"49501403"</f>
        <v>49501403</v>
      </c>
      <c r="U265" t="s">
        <v>838</v>
      </c>
      <c r="V265" t="s">
        <v>839</v>
      </c>
    </row>
    <row r="266" spans="1:22" x14ac:dyDescent="0.25">
      <c r="A266" t="str">
        <f t="shared" si="34"/>
        <v>10807</v>
      </c>
      <c r="B266" t="s">
        <v>723</v>
      </c>
      <c r="C266" t="s">
        <v>724</v>
      </c>
      <c r="D266" t="s">
        <v>961</v>
      </c>
      <c r="E266" t="s">
        <v>25</v>
      </c>
      <c r="F266" t="s">
        <v>26</v>
      </c>
      <c r="G266" t="str">
        <f t="shared" si="35"/>
        <v>37</v>
      </c>
      <c r="H266" t="str">
        <f t="shared" ref="H266:H278" si="36">"11"</f>
        <v>11</v>
      </c>
      <c r="I266" t="s">
        <v>37</v>
      </c>
      <c r="J266">
        <v>20</v>
      </c>
      <c r="K266">
        <v>0</v>
      </c>
      <c r="L266" t="s">
        <v>28</v>
      </c>
      <c r="M266" t="s">
        <v>962</v>
      </c>
      <c r="N266">
        <v>1</v>
      </c>
      <c r="O266" t="str">
        <f t="shared" ref="O266:O278" si="37">"722"</f>
        <v>722</v>
      </c>
      <c r="P266" t="s">
        <v>963</v>
      </c>
      <c r="Q266" t="s">
        <v>37</v>
      </c>
      <c r="R266" t="s">
        <v>31</v>
      </c>
      <c r="S266" t="s">
        <v>28</v>
      </c>
      <c r="T266" t="str">
        <f>"95847061"</f>
        <v>95847061</v>
      </c>
      <c r="U266" t="s">
        <v>964</v>
      </c>
      <c r="V266" t="s">
        <v>965</v>
      </c>
    </row>
    <row r="267" spans="1:22" x14ac:dyDescent="0.25">
      <c r="A267" t="str">
        <f t="shared" si="34"/>
        <v>10807</v>
      </c>
      <c r="B267" t="s">
        <v>723</v>
      </c>
      <c r="C267" t="s">
        <v>724</v>
      </c>
      <c r="D267" t="s">
        <v>966</v>
      </c>
      <c r="E267" t="s">
        <v>25</v>
      </c>
      <c r="F267" t="s">
        <v>26</v>
      </c>
      <c r="G267" t="str">
        <f t="shared" si="35"/>
        <v>37</v>
      </c>
      <c r="H267" t="str">
        <f t="shared" si="36"/>
        <v>11</v>
      </c>
      <c r="I267" t="s">
        <v>37</v>
      </c>
      <c r="J267">
        <v>40</v>
      </c>
      <c r="K267">
        <v>0</v>
      </c>
      <c r="L267" t="s">
        <v>28</v>
      </c>
      <c r="M267" t="s">
        <v>967</v>
      </c>
      <c r="N267">
        <v>1</v>
      </c>
      <c r="O267" t="str">
        <f t="shared" si="37"/>
        <v>722</v>
      </c>
      <c r="P267" t="s">
        <v>968</v>
      </c>
      <c r="Q267" t="s">
        <v>37</v>
      </c>
      <c r="R267" t="s">
        <v>31</v>
      </c>
      <c r="S267" t="s">
        <v>28</v>
      </c>
      <c r="T267" t="str">
        <f>"47385126"</f>
        <v>47385126</v>
      </c>
      <c r="U267" t="s">
        <v>969</v>
      </c>
      <c r="V267" t="s">
        <v>970</v>
      </c>
    </row>
    <row r="268" spans="1:22" x14ac:dyDescent="0.25">
      <c r="A268" t="str">
        <f t="shared" si="34"/>
        <v>10807</v>
      </c>
      <c r="B268" t="s">
        <v>723</v>
      </c>
      <c r="C268" t="s">
        <v>724</v>
      </c>
      <c r="D268" t="s">
        <v>971</v>
      </c>
      <c r="E268" t="s">
        <v>25</v>
      </c>
      <c r="F268" t="s">
        <v>26</v>
      </c>
      <c r="G268" t="str">
        <f t="shared" si="35"/>
        <v>37</v>
      </c>
      <c r="H268" t="str">
        <f t="shared" si="36"/>
        <v>11</v>
      </c>
      <c r="I268" t="s">
        <v>37</v>
      </c>
      <c r="J268">
        <v>20</v>
      </c>
      <c r="K268">
        <v>0</v>
      </c>
      <c r="L268" t="s">
        <v>28</v>
      </c>
      <c r="M268" t="s">
        <v>972</v>
      </c>
      <c r="N268">
        <v>1</v>
      </c>
      <c r="O268" t="str">
        <f t="shared" si="37"/>
        <v>722</v>
      </c>
      <c r="P268" t="s">
        <v>973</v>
      </c>
      <c r="Q268" t="s">
        <v>37</v>
      </c>
      <c r="R268" t="s">
        <v>31</v>
      </c>
      <c r="S268" t="s">
        <v>28</v>
      </c>
      <c r="T268" t="str">
        <f>"95838160"</f>
        <v>95838160</v>
      </c>
      <c r="U268" t="s">
        <v>974</v>
      </c>
      <c r="V268" t="s">
        <v>975</v>
      </c>
    </row>
    <row r="269" spans="1:22" x14ac:dyDescent="0.25">
      <c r="A269" t="str">
        <f t="shared" si="34"/>
        <v>10807</v>
      </c>
      <c r="B269" t="s">
        <v>723</v>
      </c>
      <c r="C269" t="s">
        <v>724</v>
      </c>
      <c r="D269" t="s">
        <v>976</v>
      </c>
      <c r="E269" t="s">
        <v>25</v>
      </c>
      <c r="F269" t="s">
        <v>26</v>
      </c>
      <c r="G269" t="str">
        <f t="shared" si="35"/>
        <v>37</v>
      </c>
      <c r="H269" t="str">
        <f t="shared" si="36"/>
        <v>11</v>
      </c>
      <c r="I269" t="s">
        <v>37</v>
      </c>
      <c r="J269">
        <v>30</v>
      </c>
      <c r="K269">
        <v>0</v>
      </c>
      <c r="L269" t="s">
        <v>28</v>
      </c>
      <c r="M269" t="s">
        <v>977</v>
      </c>
      <c r="N269">
        <v>1</v>
      </c>
      <c r="O269" t="str">
        <f t="shared" si="37"/>
        <v>722</v>
      </c>
      <c r="P269" t="s">
        <v>978</v>
      </c>
      <c r="Q269" t="s">
        <v>37</v>
      </c>
      <c r="R269" t="s">
        <v>31</v>
      </c>
      <c r="S269" t="s">
        <v>28</v>
      </c>
      <c r="T269" t="str">
        <f>"45441306"</f>
        <v>45441306</v>
      </c>
      <c r="U269" t="s">
        <v>979</v>
      </c>
      <c r="V269" t="s">
        <v>980</v>
      </c>
    </row>
    <row r="270" spans="1:22" x14ac:dyDescent="0.25">
      <c r="A270" t="str">
        <f t="shared" si="34"/>
        <v>10807</v>
      </c>
      <c r="B270" t="s">
        <v>723</v>
      </c>
      <c r="C270" t="s">
        <v>724</v>
      </c>
      <c r="D270" t="s">
        <v>981</v>
      </c>
      <c r="E270" t="s">
        <v>25</v>
      </c>
      <c r="F270" t="s">
        <v>26</v>
      </c>
      <c r="G270" t="str">
        <f t="shared" si="35"/>
        <v>37</v>
      </c>
      <c r="H270" t="str">
        <f t="shared" si="36"/>
        <v>11</v>
      </c>
      <c r="I270" t="s">
        <v>37</v>
      </c>
      <c r="J270">
        <v>50</v>
      </c>
      <c r="K270">
        <v>0</v>
      </c>
      <c r="L270" t="s">
        <v>28</v>
      </c>
      <c r="M270" t="s">
        <v>982</v>
      </c>
      <c r="N270">
        <v>1</v>
      </c>
      <c r="O270" t="str">
        <f t="shared" si="37"/>
        <v>722</v>
      </c>
      <c r="P270" t="s">
        <v>983</v>
      </c>
      <c r="Q270" t="s">
        <v>37</v>
      </c>
      <c r="R270" t="s">
        <v>31</v>
      </c>
      <c r="S270" t="s">
        <v>28</v>
      </c>
      <c r="T270" t="str">
        <f>"66846556"</f>
        <v>66846556</v>
      </c>
      <c r="U270" t="s">
        <v>984</v>
      </c>
      <c r="V270" t="s">
        <v>985</v>
      </c>
    </row>
    <row r="271" spans="1:22" x14ac:dyDescent="0.25">
      <c r="A271" t="str">
        <f t="shared" si="34"/>
        <v>10807</v>
      </c>
      <c r="B271" t="s">
        <v>723</v>
      </c>
      <c r="C271" t="s">
        <v>724</v>
      </c>
      <c r="D271" t="s">
        <v>986</v>
      </c>
      <c r="E271" t="s">
        <v>25</v>
      </c>
      <c r="F271" t="s">
        <v>26</v>
      </c>
      <c r="G271" t="str">
        <f t="shared" si="35"/>
        <v>37</v>
      </c>
      <c r="H271" t="str">
        <f t="shared" si="36"/>
        <v>11</v>
      </c>
      <c r="I271" t="s">
        <v>37</v>
      </c>
      <c r="J271">
        <v>20</v>
      </c>
      <c r="K271">
        <v>0</v>
      </c>
      <c r="L271" t="s">
        <v>28</v>
      </c>
      <c r="M271" t="s">
        <v>987</v>
      </c>
      <c r="N271">
        <v>1</v>
      </c>
      <c r="O271" t="str">
        <f t="shared" si="37"/>
        <v>722</v>
      </c>
      <c r="P271" t="s">
        <v>988</v>
      </c>
      <c r="Q271" t="s">
        <v>37</v>
      </c>
      <c r="R271" t="s">
        <v>31</v>
      </c>
      <c r="S271" t="s">
        <v>28</v>
      </c>
      <c r="T271" t="str">
        <f>"21840732"</f>
        <v>21840732</v>
      </c>
      <c r="U271" t="s">
        <v>989</v>
      </c>
      <c r="V271" t="s">
        <v>990</v>
      </c>
    </row>
    <row r="272" spans="1:22" x14ac:dyDescent="0.25">
      <c r="A272" t="str">
        <f t="shared" si="34"/>
        <v>10807</v>
      </c>
      <c r="B272" t="s">
        <v>723</v>
      </c>
      <c r="C272" t="s">
        <v>724</v>
      </c>
      <c r="D272" t="s">
        <v>991</v>
      </c>
      <c r="E272" t="s">
        <v>25</v>
      </c>
      <c r="F272" t="s">
        <v>26</v>
      </c>
      <c r="G272" t="str">
        <f t="shared" si="35"/>
        <v>37</v>
      </c>
      <c r="H272" t="str">
        <f t="shared" si="36"/>
        <v>11</v>
      </c>
      <c r="I272" t="s">
        <v>37</v>
      </c>
      <c r="J272">
        <v>10</v>
      </c>
      <c r="K272">
        <v>0</v>
      </c>
      <c r="L272" t="s">
        <v>28</v>
      </c>
      <c r="M272" t="s">
        <v>992</v>
      </c>
      <c r="N272">
        <v>1</v>
      </c>
      <c r="O272" t="str">
        <f t="shared" si="37"/>
        <v>722</v>
      </c>
      <c r="P272" t="s">
        <v>993</v>
      </c>
      <c r="Q272" t="s">
        <v>37</v>
      </c>
      <c r="R272" t="s">
        <v>31</v>
      </c>
      <c r="S272" t="s">
        <v>28</v>
      </c>
      <c r="T272" t="str">
        <f>"47363312"</f>
        <v>47363312</v>
      </c>
      <c r="U272" t="s">
        <v>994</v>
      </c>
      <c r="V272" t="s">
        <v>995</v>
      </c>
    </row>
    <row r="273" spans="1:22" x14ac:dyDescent="0.25">
      <c r="A273" t="str">
        <f t="shared" si="34"/>
        <v>10807</v>
      </c>
      <c r="B273" t="s">
        <v>723</v>
      </c>
      <c r="C273" t="s">
        <v>724</v>
      </c>
      <c r="D273" t="s">
        <v>996</v>
      </c>
      <c r="E273" t="s">
        <v>25</v>
      </c>
      <c r="F273" t="s">
        <v>26</v>
      </c>
      <c r="G273" t="str">
        <f t="shared" si="35"/>
        <v>37</v>
      </c>
      <c r="H273" t="str">
        <f t="shared" si="36"/>
        <v>11</v>
      </c>
      <c r="I273" t="s">
        <v>27</v>
      </c>
      <c r="J273">
        <v>20</v>
      </c>
      <c r="K273">
        <v>0</v>
      </c>
      <c r="L273" t="s">
        <v>28</v>
      </c>
      <c r="M273" t="s">
        <v>997</v>
      </c>
      <c r="N273">
        <v>1</v>
      </c>
      <c r="O273" t="str">
        <f t="shared" si="37"/>
        <v>722</v>
      </c>
      <c r="P273" t="s">
        <v>998</v>
      </c>
      <c r="Q273" t="s">
        <v>27</v>
      </c>
      <c r="R273" t="s">
        <v>31</v>
      </c>
      <c r="S273" t="s">
        <v>28</v>
      </c>
      <c r="T273" t="str">
        <f>"25316961"</f>
        <v>25316961</v>
      </c>
      <c r="U273" t="s">
        <v>999</v>
      </c>
      <c r="V273" t="s">
        <v>1000</v>
      </c>
    </row>
    <row r="274" spans="1:22" x14ac:dyDescent="0.25">
      <c r="A274" t="str">
        <f t="shared" si="34"/>
        <v>10807</v>
      </c>
      <c r="B274" t="s">
        <v>723</v>
      </c>
      <c r="C274" t="s">
        <v>724</v>
      </c>
      <c r="D274" t="s">
        <v>1001</v>
      </c>
      <c r="E274" t="s">
        <v>25</v>
      </c>
      <c r="F274" t="s">
        <v>26</v>
      </c>
      <c r="G274" t="str">
        <f t="shared" si="35"/>
        <v>37</v>
      </c>
      <c r="H274" t="str">
        <f t="shared" si="36"/>
        <v>11</v>
      </c>
      <c r="I274" t="s">
        <v>37</v>
      </c>
      <c r="J274">
        <v>20</v>
      </c>
      <c r="K274">
        <v>0</v>
      </c>
      <c r="L274" t="s">
        <v>28</v>
      </c>
      <c r="M274" t="s">
        <v>1002</v>
      </c>
      <c r="N274">
        <v>1</v>
      </c>
      <c r="O274" t="str">
        <f t="shared" si="37"/>
        <v>722</v>
      </c>
      <c r="P274" t="s">
        <v>1003</v>
      </c>
      <c r="Q274" t="s">
        <v>37</v>
      </c>
      <c r="R274" t="s">
        <v>31</v>
      </c>
      <c r="S274" t="s">
        <v>28</v>
      </c>
      <c r="T274" t="str">
        <f>"47268318"</f>
        <v>47268318</v>
      </c>
      <c r="U274" t="s">
        <v>1004</v>
      </c>
      <c r="V274" t="s">
        <v>1005</v>
      </c>
    </row>
    <row r="275" spans="1:22" x14ac:dyDescent="0.25">
      <c r="A275" t="str">
        <f t="shared" si="34"/>
        <v>10807</v>
      </c>
      <c r="B275" t="s">
        <v>723</v>
      </c>
      <c r="C275" t="s">
        <v>724</v>
      </c>
      <c r="D275" t="s">
        <v>1006</v>
      </c>
      <c r="E275" t="s">
        <v>25</v>
      </c>
      <c r="F275" t="s">
        <v>26</v>
      </c>
      <c r="G275" t="str">
        <f t="shared" si="35"/>
        <v>37</v>
      </c>
      <c r="H275" t="str">
        <f t="shared" si="36"/>
        <v>11</v>
      </c>
      <c r="I275" t="s">
        <v>37</v>
      </c>
      <c r="J275">
        <v>20</v>
      </c>
      <c r="K275">
        <v>0</v>
      </c>
      <c r="L275" t="s">
        <v>28</v>
      </c>
      <c r="M275" t="s">
        <v>1007</v>
      </c>
      <c r="N275">
        <v>1</v>
      </c>
      <c r="O275" t="str">
        <f t="shared" si="37"/>
        <v>722</v>
      </c>
      <c r="P275" t="s">
        <v>1008</v>
      </c>
      <c r="Q275" t="s">
        <v>37</v>
      </c>
      <c r="R275" t="s">
        <v>31</v>
      </c>
      <c r="S275" t="s">
        <v>28</v>
      </c>
      <c r="T275" t="str">
        <f>"19282182"</f>
        <v>19282182</v>
      </c>
      <c r="U275" t="s">
        <v>1009</v>
      </c>
      <c r="V275" t="s">
        <v>1010</v>
      </c>
    </row>
    <row r="276" spans="1:22" x14ac:dyDescent="0.25">
      <c r="A276" t="str">
        <f t="shared" si="34"/>
        <v>10807</v>
      </c>
      <c r="B276" t="s">
        <v>723</v>
      </c>
      <c r="C276" t="s">
        <v>724</v>
      </c>
      <c r="D276" t="s">
        <v>1011</v>
      </c>
      <c r="E276" t="s">
        <v>25</v>
      </c>
      <c r="F276" t="s">
        <v>26</v>
      </c>
      <c r="G276" t="str">
        <f t="shared" si="35"/>
        <v>37</v>
      </c>
      <c r="H276" t="str">
        <f t="shared" si="36"/>
        <v>11</v>
      </c>
      <c r="I276" t="s">
        <v>37</v>
      </c>
      <c r="J276">
        <v>20</v>
      </c>
      <c r="K276">
        <v>0</v>
      </c>
      <c r="L276" t="s">
        <v>28</v>
      </c>
      <c r="M276" t="s">
        <v>1012</v>
      </c>
      <c r="N276">
        <v>1</v>
      </c>
      <c r="O276" t="str">
        <f t="shared" si="37"/>
        <v>722</v>
      </c>
      <c r="P276" t="s">
        <v>1013</v>
      </c>
      <c r="Q276" t="s">
        <v>37</v>
      </c>
      <c r="R276" t="s">
        <v>31</v>
      </c>
      <c r="S276" t="s">
        <v>28</v>
      </c>
      <c r="T276" t="str">
        <f>"10926233"</f>
        <v>10926233</v>
      </c>
      <c r="U276" t="s">
        <v>1014</v>
      </c>
      <c r="V276" t="s">
        <v>1015</v>
      </c>
    </row>
    <row r="277" spans="1:22" x14ac:dyDescent="0.25">
      <c r="A277" t="str">
        <f t="shared" si="34"/>
        <v>10807</v>
      </c>
      <c r="B277" t="s">
        <v>723</v>
      </c>
      <c r="C277" t="s">
        <v>724</v>
      </c>
      <c r="D277" t="s">
        <v>1016</v>
      </c>
      <c r="E277" t="s">
        <v>25</v>
      </c>
      <c r="F277" t="s">
        <v>26</v>
      </c>
      <c r="G277" t="str">
        <f t="shared" si="35"/>
        <v>37</v>
      </c>
      <c r="H277" t="str">
        <f t="shared" si="36"/>
        <v>11</v>
      </c>
      <c r="I277" t="s">
        <v>763</v>
      </c>
      <c r="J277">
        <v>20</v>
      </c>
      <c r="K277">
        <v>0</v>
      </c>
      <c r="L277" t="s">
        <v>28</v>
      </c>
      <c r="M277" t="s">
        <v>1017</v>
      </c>
      <c r="N277">
        <v>1</v>
      </c>
      <c r="O277" t="str">
        <f t="shared" si="37"/>
        <v>722</v>
      </c>
      <c r="P277" t="s">
        <v>1018</v>
      </c>
      <c r="Q277" t="s">
        <v>763</v>
      </c>
      <c r="R277" t="s">
        <v>31</v>
      </c>
      <c r="S277" t="s">
        <v>28</v>
      </c>
      <c r="T277" t="str">
        <f>"72460404"</f>
        <v>72460404</v>
      </c>
      <c r="U277" t="s">
        <v>1019</v>
      </c>
      <c r="V277" t="s">
        <v>1020</v>
      </c>
    </row>
    <row r="278" spans="1:22" x14ac:dyDescent="0.25">
      <c r="A278" t="str">
        <f t="shared" si="34"/>
        <v>10807</v>
      </c>
      <c r="B278" t="s">
        <v>723</v>
      </c>
      <c r="C278" t="s">
        <v>724</v>
      </c>
      <c r="D278" t="s">
        <v>1021</v>
      </c>
      <c r="E278" t="s">
        <v>25</v>
      </c>
      <c r="F278" t="s">
        <v>26</v>
      </c>
      <c r="G278" t="str">
        <f t="shared" si="35"/>
        <v>37</v>
      </c>
      <c r="H278" t="str">
        <f t="shared" si="36"/>
        <v>11</v>
      </c>
      <c r="I278" t="s">
        <v>37</v>
      </c>
      <c r="J278">
        <v>20</v>
      </c>
      <c r="K278">
        <v>0</v>
      </c>
      <c r="L278" t="s">
        <v>28</v>
      </c>
      <c r="M278" t="s">
        <v>1022</v>
      </c>
      <c r="N278">
        <v>1</v>
      </c>
      <c r="O278" t="str">
        <f t="shared" si="37"/>
        <v>722</v>
      </c>
      <c r="P278" t="s">
        <v>1023</v>
      </c>
      <c r="Q278" t="s">
        <v>37</v>
      </c>
      <c r="R278" t="s">
        <v>31</v>
      </c>
      <c r="S278" t="s">
        <v>28</v>
      </c>
      <c r="T278" t="str">
        <f>"20401658"</f>
        <v>20401658</v>
      </c>
      <c r="U278" t="s">
        <v>1024</v>
      </c>
      <c r="V278" t="s">
        <v>1025</v>
      </c>
    </row>
    <row r="279" spans="1:22" x14ac:dyDescent="0.25">
      <c r="A279" t="str">
        <f t="shared" si="34"/>
        <v>10807</v>
      </c>
      <c r="B279" t="s">
        <v>723</v>
      </c>
      <c r="C279" t="s">
        <v>724</v>
      </c>
      <c r="D279" t="s">
        <v>1026</v>
      </c>
      <c r="E279" t="s">
        <v>25</v>
      </c>
      <c r="F279" t="s">
        <v>26</v>
      </c>
      <c r="G279" t="str">
        <f t="shared" si="35"/>
        <v>37</v>
      </c>
      <c r="H279" t="str">
        <f>"10"</f>
        <v>10</v>
      </c>
      <c r="I279" t="s">
        <v>1027</v>
      </c>
      <c r="J279">
        <v>10</v>
      </c>
      <c r="K279">
        <v>10</v>
      </c>
      <c r="L279" t="s">
        <v>28</v>
      </c>
      <c r="M279" t="s">
        <v>1028</v>
      </c>
      <c r="N279">
        <v>1</v>
      </c>
      <c r="O279" t="str">
        <f>"721"</f>
        <v>721</v>
      </c>
      <c r="P279" t="s">
        <v>1029</v>
      </c>
      <c r="Q279" t="s">
        <v>1027</v>
      </c>
      <c r="R279" t="s">
        <v>31</v>
      </c>
      <c r="S279" t="s">
        <v>28</v>
      </c>
      <c r="T279" t="s">
        <v>1030</v>
      </c>
      <c r="U279" t="s">
        <v>1031</v>
      </c>
      <c r="V279" t="s">
        <v>1032</v>
      </c>
    </row>
    <row r="280" spans="1:22" x14ac:dyDescent="0.25">
      <c r="A280" t="str">
        <f t="shared" si="34"/>
        <v>10807</v>
      </c>
      <c r="B280" t="s">
        <v>723</v>
      </c>
      <c r="C280" t="s">
        <v>724</v>
      </c>
      <c r="D280" t="s">
        <v>1033</v>
      </c>
      <c r="E280" t="s">
        <v>25</v>
      </c>
      <c r="F280" t="s">
        <v>26</v>
      </c>
      <c r="G280" t="str">
        <f t="shared" si="35"/>
        <v>37</v>
      </c>
      <c r="H280" t="str">
        <f t="shared" ref="H280:H285" si="38">"11"</f>
        <v>11</v>
      </c>
      <c r="I280" t="s">
        <v>27</v>
      </c>
      <c r="J280">
        <v>20</v>
      </c>
      <c r="K280">
        <v>0</v>
      </c>
      <c r="L280" t="s">
        <v>28</v>
      </c>
      <c r="M280" t="s">
        <v>1034</v>
      </c>
      <c r="N280">
        <v>1</v>
      </c>
      <c r="O280" t="str">
        <f t="shared" ref="O280:O285" si="39">"722"</f>
        <v>722</v>
      </c>
      <c r="P280" t="s">
        <v>1035</v>
      </c>
      <c r="Q280" t="s">
        <v>27</v>
      </c>
      <c r="R280" t="s">
        <v>31</v>
      </c>
      <c r="S280" t="s">
        <v>28</v>
      </c>
      <c r="T280" t="str">
        <f>"45674178"</f>
        <v>45674178</v>
      </c>
      <c r="U280" t="s">
        <v>1036</v>
      </c>
      <c r="V280" t="s">
        <v>1037</v>
      </c>
    </row>
    <row r="281" spans="1:22" x14ac:dyDescent="0.25">
      <c r="A281" t="str">
        <f t="shared" si="34"/>
        <v>10807</v>
      </c>
      <c r="B281" t="s">
        <v>723</v>
      </c>
      <c r="C281" t="s">
        <v>724</v>
      </c>
      <c r="D281" t="s">
        <v>1038</v>
      </c>
      <c r="E281" t="s">
        <v>25</v>
      </c>
      <c r="F281" t="s">
        <v>26</v>
      </c>
      <c r="G281" t="str">
        <f t="shared" si="35"/>
        <v>37</v>
      </c>
      <c r="H281" t="str">
        <f t="shared" si="38"/>
        <v>11</v>
      </c>
      <c r="I281" t="s">
        <v>37</v>
      </c>
      <c r="J281">
        <v>20</v>
      </c>
      <c r="K281">
        <v>0</v>
      </c>
      <c r="L281" t="s">
        <v>28</v>
      </c>
      <c r="M281" t="s">
        <v>1039</v>
      </c>
      <c r="N281">
        <v>1</v>
      </c>
      <c r="O281" t="str">
        <f t="shared" si="39"/>
        <v>722</v>
      </c>
      <c r="P281" t="s">
        <v>1040</v>
      </c>
      <c r="Q281" t="s">
        <v>37</v>
      </c>
      <c r="R281" t="s">
        <v>31</v>
      </c>
      <c r="S281" t="s">
        <v>28</v>
      </c>
      <c r="T281" t="str">
        <f>"25442518"</f>
        <v>25442518</v>
      </c>
      <c r="U281" t="s">
        <v>1041</v>
      </c>
      <c r="V281" t="s">
        <v>1042</v>
      </c>
    </row>
    <row r="282" spans="1:22" x14ac:dyDescent="0.25">
      <c r="A282" t="str">
        <f t="shared" si="34"/>
        <v>10807</v>
      </c>
      <c r="B282" t="s">
        <v>723</v>
      </c>
      <c r="C282" t="s">
        <v>724</v>
      </c>
      <c r="D282" t="s">
        <v>1043</v>
      </c>
      <c r="E282" t="s">
        <v>25</v>
      </c>
      <c r="F282" t="s">
        <v>26</v>
      </c>
      <c r="G282" t="str">
        <f t="shared" si="35"/>
        <v>37</v>
      </c>
      <c r="H282" t="str">
        <f t="shared" si="38"/>
        <v>11</v>
      </c>
      <c r="I282" t="s">
        <v>37</v>
      </c>
      <c r="J282">
        <v>20</v>
      </c>
      <c r="K282">
        <v>0</v>
      </c>
      <c r="L282" t="s">
        <v>28</v>
      </c>
      <c r="M282" t="s">
        <v>1044</v>
      </c>
      <c r="N282">
        <v>1</v>
      </c>
      <c r="O282" t="str">
        <f t="shared" si="39"/>
        <v>722</v>
      </c>
      <c r="P282" t="s">
        <v>1045</v>
      </c>
      <c r="Q282" t="s">
        <v>37</v>
      </c>
      <c r="R282" t="s">
        <v>31</v>
      </c>
      <c r="S282" t="s">
        <v>28</v>
      </c>
      <c r="T282" t="str">
        <f>"82527489"</f>
        <v>82527489</v>
      </c>
      <c r="U282" t="s">
        <v>1046</v>
      </c>
      <c r="V282" t="s">
        <v>1047</v>
      </c>
    </row>
    <row r="283" spans="1:22" x14ac:dyDescent="0.25">
      <c r="A283" t="str">
        <f t="shared" si="34"/>
        <v>10807</v>
      </c>
      <c r="B283" t="s">
        <v>723</v>
      </c>
      <c r="C283" t="s">
        <v>724</v>
      </c>
      <c r="D283" t="s">
        <v>1048</v>
      </c>
      <c r="E283" t="s">
        <v>25</v>
      </c>
      <c r="F283" t="s">
        <v>26</v>
      </c>
      <c r="G283" t="str">
        <f t="shared" si="35"/>
        <v>37</v>
      </c>
      <c r="H283" t="str">
        <f t="shared" si="38"/>
        <v>11</v>
      </c>
      <c r="I283" t="s">
        <v>37</v>
      </c>
      <c r="J283">
        <v>15</v>
      </c>
      <c r="K283">
        <v>0</v>
      </c>
      <c r="L283" t="s">
        <v>28</v>
      </c>
      <c r="M283" t="s">
        <v>1049</v>
      </c>
      <c r="N283">
        <v>1</v>
      </c>
      <c r="O283" t="str">
        <f t="shared" si="39"/>
        <v>722</v>
      </c>
      <c r="P283" t="s">
        <v>1050</v>
      </c>
      <c r="Q283" t="s">
        <v>37</v>
      </c>
      <c r="R283" t="s">
        <v>31</v>
      </c>
      <c r="S283" t="s">
        <v>28</v>
      </c>
      <c r="T283" t="str">
        <f>"38886731"</f>
        <v>38886731</v>
      </c>
      <c r="U283" t="s">
        <v>1051</v>
      </c>
      <c r="V283" t="s">
        <v>1052</v>
      </c>
    </row>
    <row r="284" spans="1:22" x14ac:dyDescent="0.25">
      <c r="A284" t="str">
        <f t="shared" si="34"/>
        <v>10807</v>
      </c>
      <c r="B284" t="s">
        <v>723</v>
      </c>
      <c r="C284" t="s">
        <v>724</v>
      </c>
      <c r="D284" t="s">
        <v>1053</v>
      </c>
      <c r="E284" t="s">
        <v>25</v>
      </c>
      <c r="F284" t="s">
        <v>26</v>
      </c>
      <c r="G284" t="str">
        <f t="shared" si="35"/>
        <v>37</v>
      </c>
      <c r="H284" t="str">
        <f t="shared" si="38"/>
        <v>11</v>
      </c>
      <c r="I284" t="s">
        <v>37</v>
      </c>
      <c r="J284">
        <v>15</v>
      </c>
      <c r="K284">
        <v>0</v>
      </c>
      <c r="L284" t="s">
        <v>28</v>
      </c>
      <c r="M284" t="s">
        <v>1054</v>
      </c>
      <c r="N284">
        <v>1</v>
      </c>
      <c r="O284" t="str">
        <f t="shared" si="39"/>
        <v>722</v>
      </c>
      <c r="P284" t="s">
        <v>1050</v>
      </c>
      <c r="Q284" t="s">
        <v>37</v>
      </c>
      <c r="R284" t="s">
        <v>31</v>
      </c>
      <c r="S284" t="s">
        <v>28</v>
      </c>
      <c r="T284" t="str">
        <f>"38886731"</f>
        <v>38886731</v>
      </c>
      <c r="U284" t="s">
        <v>1051</v>
      </c>
      <c r="V284" t="s">
        <v>1052</v>
      </c>
    </row>
    <row r="285" spans="1:22" x14ac:dyDescent="0.25">
      <c r="A285" t="str">
        <f t="shared" si="34"/>
        <v>10807</v>
      </c>
      <c r="B285" t="s">
        <v>723</v>
      </c>
      <c r="C285" t="s">
        <v>724</v>
      </c>
      <c r="D285" t="s">
        <v>1055</v>
      </c>
      <c r="E285" t="s">
        <v>25</v>
      </c>
      <c r="F285" t="s">
        <v>26</v>
      </c>
      <c r="G285" t="str">
        <f t="shared" si="35"/>
        <v>37</v>
      </c>
      <c r="H285" t="str">
        <f t="shared" si="38"/>
        <v>11</v>
      </c>
      <c r="I285" t="s">
        <v>37</v>
      </c>
      <c r="J285">
        <v>10</v>
      </c>
      <c r="K285">
        <v>0</v>
      </c>
      <c r="L285" t="s">
        <v>28</v>
      </c>
      <c r="M285" t="s">
        <v>1056</v>
      </c>
      <c r="N285">
        <v>1</v>
      </c>
      <c r="O285" t="str">
        <f t="shared" si="39"/>
        <v>722</v>
      </c>
      <c r="P285" t="s">
        <v>1057</v>
      </c>
      <c r="Q285" t="s">
        <v>37</v>
      </c>
      <c r="R285" t="s">
        <v>31</v>
      </c>
      <c r="S285" t="s">
        <v>28</v>
      </c>
      <c r="T285" t="str">
        <f>"25254971"</f>
        <v>25254971</v>
      </c>
      <c r="U285" t="s">
        <v>1058</v>
      </c>
      <c r="V285" t="s">
        <v>1052</v>
      </c>
    </row>
    <row r="286" spans="1:22" x14ac:dyDescent="0.25">
      <c r="A286" t="str">
        <f t="shared" si="34"/>
        <v>10807</v>
      </c>
      <c r="B286" t="s">
        <v>723</v>
      </c>
      <c r="C286" t="s">
        <v>724</v>
      </c>
      <c r="D286" t="s">
        <v>1059</v>
      </c>
      <c r="E286" t="s">
        <v>25</v>
      </c>
      <c r="F286" t="s">
        <v>26</v>
      </c>
      <c r="G286" t="str">
        <f t="shared" si="35"/>
        <v>37</v>
      </c>
      <c r="H286" t="str">
        <f>"10"</f>
        <v>10</v>
      </c>
      <c r="I286" t="s">
        <v>37</v>
      </c>
      <c r="J286">
        <v>41.387999999999998</v>
      </c>
      <c r="K286">
        <v>0</v>
      </c>
      <c r="L286" t="s">
        <v>28</v>
      </c>
      <c r="M286" t="s">
        <v>1060</v>
      </c>
      <c r="N286">
        <v>1</v>
      </c>
      <c r="O286" t="str">
        <f>"723"</f>
        <v>723</v>
      </c>
      <c r="P286" t="s">
        <v>946</v>
      </c>
      <c r="Q286" t="s">
        <v>37</v>
      </c>
      <c r="R286" t="s">
        <v>31</v>
      </c>
      <c r="S286" t="s">
        <v>28</v>
      </c>
      <c r="T286" t="str">
        <f>"49503900"</f>
        <v>49503900</v>
      </c>
      <c r="U286" t="s">
        <v>947</v>
      </c>
      <c r="V286" t="s">
        <v>948</v>
      </c>
    </row>
    <row r="287" spans="1:22" x14ac:dyDescent="0.25">
      <c r="A287" t="str">
        <f t="shared" si="34"/>
        <v>10807</v>
      </c>
      <c r="B287" t="s">
        <v>723</v>
      </c>
      <c r="C287" t="s">
        <v>724</v>
      </c>
      <c r="D287" t="s">
        <v>1061</v>
      </c>
      <c r="E287" t="s">
        <v>25</v>
      </c>
      <c r="F287" t="s">
        <v>26</v>
      </c>
      <c r="G287" t="str">
        <f t="shared" si="35"/>
        <v>37</v>
      </c>
      <c r="H287" t="str">
        <f t="shared" ref="H287:H292" si="40">"11"</f>
        <v>11</v>
      </c>
      <c r="I287" t="s">
        <v>37</v>
      </c>
      <c r="J287">
        <v>10</v>
      </c>
      <c r="K287">
        <v>0</v>
      </c>
      <c r="L287" t="s">
        <v>28</v>
      </c>
      <c r="M287" t="s">
        <v>1062</v>
      </c>
      <c r="N287">
        <v>1</v>
      </c>
      <c r="O287" t="str">
        <f t="shared" ref="O287:O292" si="41">"722"</f>
        <v>722</v>
      </c>
      <c r="P287" t="s">
        <v>1063</v>
      </c>
      <c r="Q287" t="s">
        <v>37</v>
      </c>
      <c r="R287" t="s">
        <v>31</v>
      </c>
      <c r="S287" t="s">
        <v>28</v>
      </c>
      <c r="T287" t="str">
        <f>"45207815"</f>
        <v>45207815</v>
      </c>
      <c r="U287" t="s">
        <v>1064</v>
      </c>
      <c r="V287" t="s">
        <v>1052</v>
      </c>
    </row>
    <row r="288" spans="1:22" x14ac:dyDescent="0.25">
      <c r="A288" t="str">
        <f t="shared" si="34"/>
        <v>10807</v>
      </c>
      <c r="B288" t="s">
        <v>723</v>
      </c>
      <c r="C288" t="s">
        <v>724</v>
      </c>
      <c r="D288" t="s">
        <v>1065</v>
      </c>
      <c r="E288" t="s">
        <v>25</v>
      </c>
      <c r="F288" t="s">
        <v>26</v>
      </c>
      <c r="G288" t="str">
        <f t="shared" si="35"/>
        <v>37</v>
      </c>
      <c r="H288" t="str">
        <f t="shared" si="40"/>
        <v>11</v>
      </c>
      <c r="I288" t="s">
        <v>37</v>
      </c>
      <c r="J288">
        <v>20</v>
      </c>
      <c r="K288">
        <v>0</v>
      </c>
      <c r="L288" t="s">
        <v>28</v>
      </c>
      <c r="M288" t="s">
        <v>1066</v>
      </c>
      <c r="N288">
        <v>1</v>
      </c>
      <c r="O288" t="str">
        <f t="shared" si="41"/>
        <v>722</v>
      </c>
      <c r="P288" t="s">
        <v>1067</v>
      </c>
      <c r="Q288" t="s">
        <v>37</v>
      </c>
      <c r="R288" t="s">
        <v>31</v>
      </c>
      <c r="S288" t="s">
        <v>28</v>
      </c>
      <c r="T288" t="str">
        <f>"25401214"</f>
        <v>25401214</v>
      </c>
      <c r="U288" t="s">
        <v>1068</v>
      </c>
      <c r="V288" t="s">
        <v>1069</v>
      </c>
    </row>
    <row r="289" spans="1:22" x14ac:dyDescent="0.25">
      <c r="A289" t="str">
        <f t="shared" si="34"/>
        <v>10807</v>
      </c>
      <c r="B289" t="s">
        <v>723</v>
      </c>
      <c r="C289" t="s">
        <v>724</v>
      </c>
      <c r="D289" t="s">
        <v>1070</v>
      </c>
      <c r="E289" t="s">
        <v>25</v>
      </c>
      <c r="F289" t="s">
        <v>26</v>
      </c>
      <c r="G289" t="str">
        <f t="shared" si="35"/>
        <v>37</v>
      </c>
      <c r="H289" t="str">
        <f t="shared" si="40"/>
        <v>11</v>
      </c>
      <c r="I289" t="s">
        <v>27</v>
      </c>
      <c r="J289">
        <v>50</v>
      </c>
      <c r="K289">
        <v>0</v>
      </c>
      <c r="L289" t="s">
        <v>28</v>
      </c>
      <c r="M289" t="s">
        <v>1071</v>
      </c>
      <c r="N289">
        <v>1</v>
      </c>
      <c r="O289" t="str">
        <f t="shared" si="41"/>
        <v>722</v>
      </c>
      <c r="P289" t="s">
        <v>1072</v>
      </c>
      <c r="Q289" t="s">
        <v>27</v>
      </c>
      <c r="R289" t="s">
        <v>31</v>
      </c>
      <c r="S289" t="s">
        <v>28</v>
      </c>
      <c r="T289" t="str">
        <f>"42480261"</f>
        <v>42480261</v>
      </c>
      <c r="U289" t="s">
        <v>766</v>
      </c>
      <c r="V289" t="s">
        <v>767</v>
      </c>
    </row>
    <row r="290" spans="1:22" x14ac:dyDescent="0.25">
      <c r="A290" t="str">
        <f t="shared" si="34"/>
        <v>10807</v>
      </c>
      <c r="B290" t="s">
        <v>723</v>
      </c>
      <c r="C290" t="s">
        <v>724</v>
      </c>
      <c r="D290" t="s">
        <v>1073</v>
      </c>
      <c r="E290" t="s">
        <v>25</v>
      </c>
      <c r="F290" t="s">
        <v>26</v>
      </c>
      <c r="G290" t="str">
        <f t="shared" si="35"/>
        <v>37</v>
      </c>
      <c r="H290" t="str">
        <f t="shared" si="40"/>
        <v>11</v>
      </c>
      <c r="I290" t="s">
        <v>27</v>
      </c>
      <c r="J290">
        <v>50</v>
      </c>
      <c r="K290">
        <v>0</v>
      </c>
      <c r="L290" t="s">
        <v>28</v>
      </c>
      <c r="M290" t="s">
        <v>1074</v>
      </c>
      <c r="N290">
        <v>1</v>
      </c>
      <c r="O290" t="str">
        <f t="shared" si="41"/>
        <v>722</v>
      </c>
      <c r="P290" t="s">
        <v>791</v>
      </c>
      <c r="Q290" t="s">
        <v>27</v>
      </c>
      <c r="R290" t="s">
        <v>31</v>
      </c>
      <c r="S290" t="s">
        <v>28</v>
      </c>
      <c r="T290" t="str">
        <f>"19311779"</f>
        <v>19311779</v>
      </c>
      <c r="U290" t="s">
        <v>792</v>
      </c>
      <c r="V290" t="s">
        <v>793</v>
      </c>
    </row>
    <row r="291" spans="1:22" x14ac:dyDescent="0.25">
      <c r="A291" t="str">
        <f t="shared" si="34"/>
        <v>10807</v>
      </c>
      <c r="B291" t="s">
        <v>723</v>
      </c>
      <c r="C291" t="s">
        <v>724</v>
      </c>
      <c r="D291" t="s">
        <v>1075</v>
      </c>
      <c r="E291" t="s">
        <v>25</v>
      </c>
      <c r="F291" t="s">
        <v>26</v>
      </c>
      <c r="G291" t="str">
        <f t="shared" si="35"/>
        <v>37</v>
      </c>
      <c r="H291" t="str">
        <f t="shared" si="40"/>
        <v>11</v>
      </c>
      <c r="I291" t="s">
        <v>763</v>
      </c>
      <c r="J291">
        <v>50</v>
      </c>
      <c r="K291">
        <v>0</v>
      </c>
      <c r="L291" t="s">
        <v>28</v>
      </c>
      <c r="M291" t="s">
        <v>1076</v>
      </c>
      <c r="N291">
        <v>1</v>
      </c>
      <c r="O291" t="str">
        <f t="shared" si="41"/>
        <v>722</v>
      </c>
      <c r="P291" t="s">
        <v>1077</v>
      </c>
      <c r="Q291" t="s">
        <v>763</v>
      </c>
      <c r="R291" t="s">
        <v>31</v>
      </c>
      <c r="S291" t="s">
        <v>28</v>
      </c>
      <c r="T291" t="str">
        <f>"14932258"</f>
        <v>14932258</v>
      </c>
      <c r="U291" t="s">
        <v>1078</v>
      </c>
      <c r="V291" t="s">
        <v>1079</v>
      </c>
    </row>
    <row r="292" spans="1:22" x14ac:dyDescent="0.25">
      <c r="A292" t="str">
        <f t="shared" si="34"/>
        <v>10807</v>
      </c>
      <c r="B292" t="s">
        <v>723</v>
      </c>
      <c r="C292" t="s">
        <v>724</v>
      </c>
      <c r="D292" t="s">
        <v>1080</v>
      </c>
      <c r="E292" t="s">
        <v>25</v>
      </c>
      <c r="F292" t="s">
        <v>26</v>
      </c>
      <c r="G292" t="str">
        <f t="shared" si="35"/>
        <v>37</v>
      </c>
      <c r="H292" t="str">
        <f t="shared" si="40"/>
        <v>11</v>
      </c>
      <c r="I292" t="s">
        <v>37</v>
      </c>
      <c r="J292">
        <v>30</v>
      </c>
      <c r="K292">
        <v>0</v>
      </c>
      <c r="L292" t="s">
        <v>28</v>
      </c>
      <c r="M292" t="s">
        <v>1081</v>
      </c>
      <c r="N292">
        <v>1</v>
      </c>
      <c r="O292" t="str">
        <f t="shared" si="41"/>
        <v>722</v>
      </c>
      <c r="P292" t="s">
        <v>1082</v>
      </c>
      <c r="Q292" t="s">
        <v>37</v>
      </c>
      <c r="R292" t="s">
        <v>31</v>
      </c>
      <c r="S292" t="s">
        <v>28</v>
      </c>
      <c r="T292" t="str">
        <f>"66843299"</f>
        <v>66843299</v>
      </c>
      <c r="U292" t="s">
        <v>1083</v>
      </c>
      <c r="V292" t="s">
        <v>1084</v>
      </c>
    </row>
    <row r="293" spans="1:22" x14ac:dyDescent="0.25">
      <c r="A293" t="str">
        <f t="shared" si="34"/>
        <v>10807</v>
      </c>
      <c r="B293" t="s">
        <v>723</v>
      </c>
      <c r="C293" t="s">
        <v>724</v>
      </c>
      <c r="D293" t="s">
        <v>1085</v>
      </c>
      <c r="E293" t="s">
        <v>25</v>
      </c>
      <c r="F293" t="s">
        <v>26</v>
      </c>
      <c r="G293" t="str">
        <f t="shared" si="35"/>
        <v>37</v>
      </c>
      <c r="H293" t="str">
        <f>"10"</f>
        <v>10</v>
      </c>
      <c r="I293" t="s">
        <v>37</v>
      </c>
      <c r="J293">
        <v>80</v>
      </c>
      <c r="K293">
        <v>0</v>
      </c>
      <c r="L293" t="s">
        <v>28</v>
      </c>
      <c r="M293" t="s">
        <v>1086</v>
      </c>
      <c r="N293">
        <v>1</v>
      </c>
      <c r="O293" t="str">
        <f>"723"</f>
        <v>723</v>
      </c>
      <c r="P293" t="s">
        <v>1087</v>
      </c>
      <c r="Q293" t="s">
        <v>37</v>
      </c>
      <c r="R293" t="s">
        <v>31</v>
      </c>
      <c r="S293" t="s">
        <v>28</v>
      </c>
      <c r="T293" t="str">
        <f>"49509307"</f>
        <v>49509307</v>
      </c>
      <c r="U293" t="s">
        <v>1088</v>
      </c>
      <c r="V293" t="s">
        <v>1089</v>
      </c>
    </row>
    <row r="294" spans="1:22" x14ac:dyDescent="0.25">
      <c r="A294" t="str">
        <f t="shared" si="34"/>
        <v>10807</v>
      </c>
      <c r="B294" t="s">
        <v>723</v>
      </c>
      <c r="C294" t="s">
        <v>724</v>
      </c>
      <c r="D294" t="s">
        <v>1090</v>
      </c>
      <c r="E294" t="s">
        <v>25</v>
      </c>
      <c r="F294" t="s">
        <v>26</v>
      </c>
      <c r="G294" t="str">
        <f t="shared" si="35"/>
        <v>37</v>
      </c>
      <c r="H294" t="str">
        <f>"10"</f>
        <v>10</v>
      </c>
      <c r="I294" t="s">
        <v>37</v>
      </c>
      <c r="J294">
        <v>46.095999999999997</v>
      </c>
      <c r="K294">
        <v>0</v>
      </c>
      <c r="L294" t="s">
        <v>28</v>
      </c>
      <c r="M294" t="s">
        <v>1092</v>
      </c>
      <c r="N294">
        <v>1</v>
      </c>
      <c r="O294" t="str">
        <f>"723"</f>
        <v>723</v>
      </c>
      <c r="P294" t="s">
        <v>1087</v>
      </c>
      <c r="Q294" t="s">
        <v>37</v>
      </c>
      <c r="R294" t="s">
        <v>31</v>
      </c>
      <c r="S294" t="s">
        <v>28</v>
      </c>
      <c r="T294" t="str">
        <f>"49509307"</f>
        <v>49509307</v>
      </c>
      <c r="U294" t="s">
        <v>1088</v>
      </c>
      <c r="V294" t="s">
        <v>1089</v>
      </c>
    </row>
    <row r="295" spans="1:22" x14ac:dyDescent="0.25">
      <c r="A295" t="str">
        <f t="shared" si="34"/>
        <v>10807</v>
      </c>
      <c r="B295" t="s">
        <v>723</v>
      </c>
      <c r="C295" t="s">
        <v>724</v>
      </c>
      <c r="D295" t="s">
        <v>1093</v>
      </c>
      <c r="E295" t="s">
        <v>25</v>
      </c>
      <c r="F295" t="s">
        <v>26</v>
      </c>
      <c r="G295" t="str">
        <f t="shared" si="35"/>
        <v>37</v>
      </c>
      <c r="H295" t="str">
        <f>"10"</f>
        <v>10</v>
      </c>
      <c r="I295" t="s">
        <v>1027</v>
      </c>
      <c r="J295">
        <v>10</v>
      </c>
      <c r="K295">
        <v>10</v>
      </c>
      <c r="L295" t="s">
        <v>28</v>
      </c>
      <c r="M295" t="s">
        <v>1094</v>
      </c>
      <c r="N295">
        <v>1</v>
      </c>
      <c r="O295" t="str">
        <f>"721"</f>
        <v>721</v>
      </c>
      <c r="P295" t="s">
        <v>1029</v>
      </c>
      <c r="Q295" t="s">
        <v>1027</v>
      </c>
      <c r="R295" t="s">
        <v>31</v>
      </c>
      <c r="S295" t="s">
        <v>28</v>
      </c>
      <c r="T295" t="s">
        <v>1095</v>
      </c>
      <c r="U295" t="s">
        <v>1096</v>
      </c>
      <c r="V295" t="s">
        <v>1097</v>
      </c>
    </row>
    <row r="296" spans="1:22" x14ac:dyDescent="0.25">
      <c r="A296" t="str">
        <f t="shared" si="34"/>
        <v>10807</v>
      </c>
      <c r="B296" t="s">
        <v>723</v>
      </c>
      <c r="C296" t="s">
        <v>724</v>
      </c>
      <c r="D296" t="s">
        <v>1098</v>
      </c>
      <c r="E296" t="s">
        <v>25</v>
      </c>
      <c r="F296" t="s">
        <v>26</v>
      </c>
      <c r="G296" t="str">
        <f t="shared" si="35"/>
        <v>37</v>
      </c>
      <c r="H296" t="str">
        <f>"10"</f>
        <v>10</v>
      </c>
      <c r="I296" t="s">
        <v>1027</v>
      </c>
      <c r="J296">
        <v>10</v>
      </c>
      <c r="K296">
        <v>10</v>
      </c>
      <c r="L296" t="s">
        <v>28</v>
      </c>
      <c r="M296" t="s">
        <v>1099</v>
      </c>
      <c r="N296">
        <v>1</v>
      </c>
      <c r="O296" t="str">
        <f>"721"</f>
        <v>721</v>
      </c>
      <c r="P296" t="s">
        <v>1029</v>
      </c>
      <c r="Q296" t="s">
        <v>1027</v>
      </c>
      <c r="R296" t="s">
        <v>31</v>
      </c>
      <c r="S296" t="s">
        <v>28</v>
      </c>
      <c r="T296" t="s">
        <v>1100</v>
      </c>
      <c r="U296" t="s">
        <v>1101</v>
      </c>
      <c r="V296" t="s">
        <v>1102</v>
      </c>
    </row>
    <row r="297" spans="1:22" x14ac:dyDescent="0.25">
      <c r="A297" t="str">
        <f t="shared" si="34"/>
        <v>10807</v>
      </c>
      <c r="B297" t="s">
        <v>723</v>
      </c>
      <c r="C297" t="s">
        <v>724</v>
      </c>
      <c r="D297" t="s">
        <v>1103</v>
      </c>
      <c r="E297" t="s">
        <v>25</v>
      </c>
      <c r="F297" t="s">
        <v>26</v>
      </c>
      <c r="G297" t="str">
        <f t="shared" si="35"/>
        <v>37</v>
      </c>
      <c r="H297" t="str">
        <f t="shared" ref="H297:H309" si="42">"11"</f>
        <v>11</v>
      </c>
      <c r="I297" t="s">
        <v>37</v>
      </c>
      <c r="J297">
        <v>15</v>
      </c>
      <c r="K297">
        <v>0</v>
      </c>
      <c r="L297" t="s">
        <v>28</v>
      </c>
      <c r="M297" t="s">
        <v>1104</v>
      </c>
      <c r="N297">
        <v>1</v>
      </c>
      <c r="O297" t="str">
        <f t="shared" ref="O297:O309" si="43">"722"</f>
        <v>722</v>
      </c>
      <c r="P297" t="s">
        <v>1105</v>
      </c>
      <c r="Q297" t="s">
        <v>37</v>
      </c>
      <c r="R297" t="s">
        <v>31</v>
      </c>
      <c r="S297" t="s">
        <v>28</v>
      </c>
      <c r="T297" t="str">
        <f>"99685594"</f>
        <v>99685594</v>
      </c>
      <c r="U297" t="s">
        <v>1106</v>
      </c>
      <c r="V297" t="s">
        <v>1107</v>
      </c>
    </row>
    <row r="298" spans="1:22" x14ac:dyDescent="0.25">
      <c r="A298" t="str">
        <f t="shared" si="34"/>
        <v>10807</v>
      </c>
      <c r="B298" t="s">
        <v>723</v>
      </c>
      <c r="C298" t="s">
        <v>724</v>
      </c>
      <c r="D298" t="s">
        <v>1108</v>
      </c>
      <c r="E298" t="s">
        <v>25</v>
      </c>
      <c r="F298" t="s">
        <v>26</v>
      </c>
      <c r="G298" t="str">
        <f t="shared" si="35"/>
        <v>37</v>
      </c>
      <c r="H298" t="str">
        <f t="shared" si="42"/>
        <v>11</v>
      </c>
      <c r="I298" t="s">
        <v>37</v>
      </c>
      <c r="J298">
        <v>20</v>
      </c>
      <c r="K298">
        <v>0</v>
      </c>
      <c r="L298" t="s">
        <v>28</v>
      </c>
      <c r="M298" t="s">
        <v>1109</v>
      </c>
      <c r="N298">
        <v>1</v>
      </c>
      <c r="O298" t="str">
        <f t="shared" si="43"/>
        <v>722</v>
      </c>
      <c r="P298" t="s">
        <v>1110</v>
      </c>
      <c r="Q298" t="s">
        <v>37</v>
      </c>
      <c r="R298" t="s">
        <v>31</v>
      </c>
      <c r="S298" t="s">
        <v>28</v>
      </c>
      <c r="T298" t="str">
        <f>"47429052"</f>
        <v>47429052</v>
      </c>
      <c r="U298" t="s">
        <v>1111</v>
      </c>
      <c r="V298" t="s">
        <v>1112</v>
      </c>
    </row>
    <row r="299" spans="1:22" x14ac:dyDescent="0.25">
      <c r="A299" t="str">
        <f t="shared" si="34"/>
        <v>10807</v>
      </c>
      <c r="B299" t="s">
        <v>723</v>
      </c>
      <c r="C299" t="s">
        <v>724</v>
      </c>
      <c r="D299" t="s">
        <v>1113</v>
      </c>
      <c r="E299" t="s">
        <v>25</v>
      </c>
      <c r="F299" t="s">
        <v>26</v>
      </c>
      <c r="G299" t="str">
        <f t="shared" si="35"/>
        <v>37</v>
      </c>
      <c r="H299" t="str">
        <f t="shared" si="42"/>
        <v>11</v>
      </c>
      <c r="I299" t="s">
        <v>37</v>
      </c>
      <c r="J299">
        <v>30</v>
      </c>
      <c r="K299">
        <v>0</v>
      </c>
      <c r="L299" t="s">
        <v>28</v>
      </c>
      <c r="M299" t="s">
        <v>1114</v>
      </c>
      <c r="N299">
        <v>1</v>
      </c>
      <c r="O299" t="str">
        <f t="shared" si="43"/>
        <v>722</v>
      </c>
      <c r="P299" t="s">
        <v>1115</v>
      </c>
      <c r="Q299" t="s">
        <v>37</v>
      </c>
      <c r="R299" t="s">
        <v>31</v>
      </c>
      <c r="S299" t="s">
        <v>28</v>
      </c>
      <c r="T299" t="str">
        <f>"19271925"</f>
        <v>19271925</v>
      </c>
      <c r="U299" t="s">
        <v>1116</v>
      </c>
      <c r="V299" t="s">
        <v>1117</v>
      </c>
    </row>
    <row r="300" spans="1:22" x14ac:dyDescent="0.25">
      <c r="A300" t="str">
        <f t="shared" si="34"/>
        <v>10807</v>
      </c>
      <c r="B300" t="s">
        <v>723</v>
      </c>
      <c r="C300" t="s">
        <v>724</v>
      </c>
      <c r="D300" t="s">
        <v>1118</v>
      </c>
      <c r="E300" t="s">
        <v>25</v>
      </c>
      <c r="F300" t="s">
        <v>26</v>
      </c>
      <c r="G300" t="str">
        <f t="shared" si="35"/>
        <v>37</v>
      </c>
      <c r="H300" t="str">
        <f t="shared" si="42"/>
        <v>11</v>
      </c>
      <c r="I300" t="s">
        <v>763</v>
      </c>
      <c r="J300">
        <v>30</v>
      </c>
      <c r="K300">
        <v>0</v>
      </c>
      <c r="L300" t="s">
        <v>28</v>
      </c>
      <c r="M300" t="s">
        <v>1119</v>
      </c>
      <c r="N300">
        <v>1</v>
      </c>
      <c r="O300" t="str">
        <f t="shared" si="43"/>
        <v>722</v>
      </c>
      <c r="P300" t="s">
        <v>1120</v>
      </c>
      <c r="Q300" t="s">
        <v>763</v>
      </c>
      <c r="R300" t="s">
        <v>31</v>
      </c>
      <c r="S300" t="s">
        <v>28</v>
      </c>
      <c r="T300" t="str">
        <f>"20261452"</f>
        <v>20261452</v>
      </c>
      <c r="U300" t="s">
        <v>1121</v>
      </c>
      <c r="V300" t="s">
        <v>1122</v>
      </c>
    </row>
    <row r="301" spans="1:22" x14ac:dyDescent="0.25">
      <c r="A301" t="str">
        <f t="shared" si="34"/>
        <v>10807</v>
      </c>
      <c r="B301" t="s">
        <v>723</v>
      </c>
      <c r="C301" t="s">
        <v>724</v>
      </c>
      <c r="D301" t="s">
        <v>1123</v>
      </c>
      <c r="E301" t="s">
        <v>25</v>
      </c>
      <c r="F301" t="s">
        <v>26</v>
      </c>
      <c r="G301" t="str">
        <f t="shared" si="35"/>
        <v>37</v>
      </c>
      <c r="H301" t="str">
        <f t="shared" si="42"/>
        <v>11</v>
      </c>
      <c r="I301" t="s">
        <v>27</v>
      </c>
      <c r="J301">
        <v>20</v>
      </c>
      <c r="K301">
        <v>0</v>
      </c>
      <c r="L301" t="s">
        <v>28</v>
      </c>
      <c r="M301" t="s">
        <v>1124</v>
      </c>
      <c r="N301">
        <v>1</v>
      </c>
      <c r="O301" t="str">
        <f t="shared" si="43"/>
        <v>722</v>
      </c>
      <c r="P301" t="s">
        <v>1125</v>
      </c>
      <c r="Q301" t="s">
        <v>27</v>
      </c>
      <c r="R301" t="s">
        <v>31</v>
      </c>
      <c r="S301" t="s">
        <v>28</v>
      </c>
      <c r="T301" t="str">
        <f>"74872705"</f>
        <v>74872705</v>
      </c>
      <c r="U301" t="s">
        <v>1126</v>
      </c>
      <c r="V301" t="s">
        <v>1127</v>
      </c>
    </row>
    <row r="302" spans="1:22" x14ac:dyDescent="0.25">
      <c r="A302" t="str">
        <f t="shared" si="34"/>
        <v>10807</v>
      </c>
      <c r="B302" t="s">
        <v>723</v>
      </c>
      <c r="C302" t="s">
        <v>724</v>
      </c>
      <c r="D302" t="s">
        <v>1128</v>
      </c>
      <c r="E302" t="s">
        <v>25</v>
      </c>
      <c r="F302" t="s">
        <v>26</v>
      </c>
      <c r="G302" t="str">
        <f t="shared" si="35"/>
        <v>37</v>
      </c>
      <c r="H302" t="str">
        <f t="shared" si="42"/>
        <v>11</v>
      </c>
      <c r="I302" t="s">
        <v>37</v>
      </c>
      <c r="J302">
        <v>30</v>
      </c>
      <c r="K302">
        <v>0</v>
      </c>
      <c r="L302" t="s">
        <v>28</v>
      </c>
      <c r="M302" t="s">
        <v>1129</v>
      </c>
      <c r="N302">
        <v>1</v>
      </c>
      <c r="O302" t="str">
        <f t="shared" si="43"/>
        <v>722</v>
      </c>
      <c r="P302" t="s">
        <v>1130</v>
      </c>
      <c r="Q302" t="s">
        <v>37</v>
      </c>
      <c r="R302" t="s">
        <v>31</v>
      </c>
      <c r="S302" t="s">
        <v>28</v>
      </c>
      <c r="T302" t="str">
        <f>"72563324"</f>
        <v>72563324</v>
      </c>
      <c r="U302" t="s">
        <v>1131</v>
      </c>
      <c r="V302" t="s">
        <v>1132</v>
      </c>
    </row>
    <row r="303" spans="1:22" x14ac:dyDescent="0.25">
      <c r="A303" t="str">
        <f t="shared" si="34"/>
        <v>10807</v>
      </c>
      <c r="B303" t="s">
        <v>723</v>
      </c>
      <c r="C303" t="s">
        <v>724</v>
      </c>
      <c r="D303" t="s">
        <v>1133</v>
      </c>
      <c r="E303" t="s">
        <v>25</v>
      </c>
      <c r="F303" t="s">
        <v>26</v>
      </c>
      <c r="G303" t="str">
        <f t="shared" si="35"/>
        <v>37</v>
      </c>
      <c r="H303" t="str">
        <f t="shared" si="42"/>
        <v>11</v>
      </c>
      <c r="I303" t="s">
        <v>37</v>
      </c>
      <c r="J303">
        <v>20</v>
      </c>
      <c r="K303">
        <v>0</v>
      </c>
      <c r="L303" t="s">
        <v>28</v>
      </c>
      <c r="M303" t="s">
        <v>1134</v>
      </c>
      <c r="N303">
        <v>1</v>
      </c>
      <c r="O303" t="str">
        <f t="shared" si="43"/>
        <v>722</v>
      </c>
      <c r="P303" t="s">
        <v>1135</v>
      </c>
      <c r="Q303" t="s">
        <v>37</v>
      </c>
      <c r="R303" t="s">
        <v>31</v>
      </c>
      <c r="S303" t="s">
        <v>28</v>
      </c>
      <c r="T303" t="str">
        <f>"38894556"</f>
        <v>38894556</v>
      </c>
      <c r="U303" t="s">
        <v>1136</v>
      </c>
      <c r="V303" t="s">
        <v>1137</v>
      </c>
    </row>
    <row r="304" spans="1:22" x14ac:dyDescent="0.25">
      <c r="A304" t="str">
        <f t="shared" si="34"/>
        <v>10807</v>
      </c>
      <c r="B304" t="s">
        <v>723</v>
      </c>
      <c r="C304" t="s">
        <v>724</v>
      </c>
      <c r="D304" t="s">
        <v>1138</v>
      </c>
      <c r="E304" t="s">
        <v>25</v>
      </c>
      <c r="F304" t="s">
        <v>26</v>
      </c>
      <c r="G304" t="str">
        <f t="shared" si="35"/>
        <v>37</v>
      </c>
      <c r="H304" t="str">
        <f t="shared" si="42"/>
        <v>11</v>
      </c>
      <c r="I304" t="s">
        <v>27</v>
      </c>
      <c r="J304">
        <v>30</v>
      </c>
      <c r="K304">
        <v>0</v>
      </c>
      <c r="L304" t="s">
        <v>28</v>
      </c>
      <c r="M304" t="s">
        <v>1139</v>
      </c>
      <c r="N304">
        <v>1</v>
      </c>
      <c r="O304" t="str">
        <f t="shared" si="43"/>
        <v>722</v>
      </c>
      <c r="P304" t="s">
        <v>1140</v>
      </c>
      <c r="Q304" t="s">
        <v>27</v>
      </c>
      <c r="R304" t="s">
        <v>31</v>
      </c>
      <c r="S304" t="s">
        <v>28</v>
      </c>
      <c r="T304" t="str">
        <f>"45499030"</f>
        <v>45499030</v>
      </c>
      <c r="U304" t="s">
        <v>1141</v>
      </c>
      <c r="V304" t="s">
        <v>1142</v>
      </c>
    </row>
    <row r="305" spans="1:22" x14ac:dyDescent="0.25">
      <c r="A305" t="str">
        <f t="shared" si="34"/>
        <v>10807</v>
      </c>
      <c r="B305" t="s">
        <v>723</v>
      </c>
      <c r="C305" t="s">
        <v>724</v>
      </c>
      <c r="D305" t="s">
        <v>1143</v>
      </c>
      <c r="E305" t="s">
        <v>25</v>
      </c>
      <c r="F305" t="s">
        <v>26</v>
      </c>
      <c r="G305" t="str">
        <f t="shared" si="35"/>
        <v>37</v>
      </c>
      <c r="H305" t="str">
        <f t="shared" si="42"/>
        <v>11</v>
      </c>
      <c r="I305" t="s">
        <v>37</v>
      </c>
      <c r="J305">
        <v>15</v>
      </c>
      <c r="K305">
        <v>0</v>
      </c>
      <c r="L305" t="s">
        <v>28</v>
      </c>
      <c r="M305" t="s">
        <v>1144</v>
      </c>
      <c r="N305">
        <v>1</v>
      </c>
      <c r="O305" t="str">
        <f t="shared" si="43"/>
        <v>722</v>
      </c>
      <c r="P305" t="s">
        <v>1145</v>
      </c>
      <c r="Q305" t="s">
        <v>37</v>
      </c>
      <c r="R305" t="s">
        <v>31</v>
      </c>
      <c r="S305" t="s">
        <v>28</v>
      </c>
      <c r="T305" t="str">
        <f>"95839359"</f>
        <v>95839359</v>
      </c>
      <c r="U305" t="s">
        <v>1146</v>
      </c>
      <c r="V305" t="s">
        <v>1147</v>
      </c>
    </row>
    <row r="306" spans="1:22" x14ac:dyDescent="0.25">
      <c r="A306" t="str">
        <f t="shared" si="34"/>
        <v>10807</v>
      </c>
      <c r="B306" t="s">
        <v>723</v>
      </c>
      <c r="C306" t="s">
        <v>724</v>
      </c>
      <c r="D306" t="s">
        <v>1148</v>
      </c>
      <c r="E306" t="s">
        <v>25</v>
      </c>
      <c r="F306" t="s">
        <v>26</v>
      </c>
      <c r="G306" t="str">
        <f t="shared" si="35"/>
        <v>37</v>
      </c>
      <c r="H306" t="str">
        <f t="shared" si="42"/>
        <v>11</v>
      </c>
      <c r="I306" t="s">
        <v>27</v>
      </c>
      <c r="J306">
        <v>50</v>
      </c>
      <c r="K306">
        <v>0</v>
      </c>
      <c r="L306" t="s">
        <v>28</v>
      </c>
      <c r="M306" t="s">
        <v>1149</v>
      </c>
      <c r="N306">
        <v>1</v>
      </c>
      <c r="O306" t="str">
        <f t="shared" si="43"/>
        <v>722</v>
      </c>
      <c r="P306" t="s">
        <v>1150</v>
      </c>
      <c r="Q306" t="s">
        <v>27</v>
      </c>
      <c r="R306" t="s">
        <v>31</v>
      </c>
      <c r="S306" t="s">
        <v>28</v>
      </c>
      <c r="T306" t="str">
        <f>"39686612"</f>
        <v>39686612</v>
      </c>
      <c r="U306" t="s">
        <v>1151</v>
      </c>
      <c r="V306" t="s">
        <v>1152</v>
      </c>
    </row>
    <row r="307" spans="1:22" x14ac:dyDescent="0.25">
      <c r="A307" t="str">
        <f t="shared" si="34"/>
        <v>10807</v>
      </c>
      <c r="B307" t="s">
        <v>723</v>
      </c>
      <c r="C307" t="s">
        <v>724</v>
      </c>
      <c r="D307" t="s">
        <v>1153</v>
      </c>
      <c r="E307" t="s">
        <v>25</v>
      </c>
      <c r="F307" t="s">
        <v>26</v>
      </c>
      <c r="G307" t="str">
        <f t="shared" si="35"/>
        <v>37</v>
      </c>
      <c r="H307" t="str">
        <f t="shared" si="42"/>
        <v>11</v>
      </c>
      <c r="I307" t="s">
        <v>37</v>
      </c>
      <c r="J307">
        <v>20</v>
      </c>
      <c r="K307">
        <v>0</v>
      </c>
      <c r="L307" t="s">
        <v>28</v>
      </c>
      <c r="M307" t="s">
        <v>1154</v>
      </c>
      <c r="N307">
        <v>1</v>
      </c>
      <c r="O307" t="str">
        <f t="shared" si="43"/>
        <v>722</v>
      </c>
      <c r="P307" t="s">
        <v>1155</v>
      </c>
      <c r="Q307" t="s">
        <v>37</v>
      </c>
      <c r="R307" t="s">
        <v>31</v>
      </c>
      <c r="S307" t="s">
        <v>28</v>
      </c>
      <c r="T307" t="str">
        <f>"49766608"</f>
        <v>49766608</v>
      </c>
      <c r="U307" t="s">
        <v>1156</v>
      </c>
      <c r="V307" t="s">
        <v>1157</v>
      </c>
    </row>
    <row r="308" spans="1:22" x14ac:dyDescent="0.25">
      <c r="A308" t="str">
        <f t="shared" si="34"/>
        <v>10807</v>
      </c>
      <c r="B308" t="s">
        <v>723</v>
      </c>
      <c r="C308" t="s">
        <v>724</v>
      </c>
      <c r="D308" t="s">
        <v>1158</v>
      </c>
      <c r="E308" t="s">
        <v>25</v>
      </c>
      <c r="F308" t="s">
        <v>26</v>
      </c>
      <c r="G308" t="str">
        <f t="shared" si="35"/>
        <v>37</v>
      </c>
      <c r="H308" t="str">
        <f t="shared" si="42"/>
        <v>11</v>
      </c>
      <c r="I308" t="s">
        <v>37</v>
      </c>
      <c r="J308">
        <v>30</v>
      </c>
      <c r="K308">
        <v>0</v>
      </c>
      <c r="L308" t="s">
        <v>28</v>
      </c>
      <c r="M308" t="s">
        <v>1159</v>
      </c>
      <c r="N308">
        <v>1</v>
      </c>
      <c r="O308" t="str">
        <f t="shared" si="43"/>
        <v>722</v>
      </c>
      <c r="P308" t="s">
        <v>1160</v>
      </c>
      <c r="Q308" t="s">
        <v>37</v>
      </c>
      <c r="R308" t="s">
        <v>31</v>
      </c>
      <c r="S308" t="s">
        <v>28</v>
      </c>
      <c r="T308" t="str">
        <f>"66843360"</f>
        <v>66843360</v>
      </c>
      <c r="U308" t="s">
        <v>1161</v>
      </c>
      <c r="V308" t="s">
        <v>1162</v>
      </c>
    </row>
    <row r="309" spans="1:22" x14ac:dyDescent="0.25">
      <c r="A309" t="str">
        <f t="shared" si="34"/>
        <v>10807</v>
      </c>
      <c r="B309" t="s">
        <v>723</v>
      </c>
      <c r="C309" t="s">
        <v>724</v>
      </c>
      <c r="D309" t="s">
        <v>1163</v>
      </c>
      <c r="E309" t="s">
        <v>25</v>
      </c>
      <c r="F309" t="s">
        <v>26</v>
      </c>
      <c r="G309" t="str">
        <f t="shared" si="35"/>
        <v>37</v>
      </c>
      <c r="H309" t="str">
        <f t="shared" si="42"/>
        <v>11</v>
      </c>
      <c r="I309" t="s">
        <v>37</v>
      </c>
      <c r="J309">
        <v>10</v>
      </c>
      <c r="K309">
        <v>0</v>
      </c>
      <c r="L309" t="s">
        <v>28</v>
      </c>
      <c r="M309" t="s">
        <v>1164</v>
      </c>
      <c r="N309">
        <v>1</v>
      </c>
      <c r="O309" t="str">
        <f t="shared" si="43"/>
        <v>722</v>
      </c>
      <c r="P309" t="s">
        <v>1165</v>
      </c>
      <c r="Q309" t="s">
        <v>37</v>
      </c>
      <c r="R309" t="s">
        <v>31</v>
      </c>
      <c r="S309" t="s">
        <v>28</v>
      </c>
      <c r="T309" t="str">
        <f>"10924919"</f>
        <v>10924919</v>
      </c>
      <c r="U309" t="s">
        <v>1166</v>
      </c>
      <c r="V309" t="s">
        <v>1167</v>
      </c>
    </row>
    <row r="310" spans="1:22" x14ac:dyDescent="0.25">
      <c r="A310" t="str">
        <f t="shared" si="34"/>
        <v>10807</v>
      </c>
      <c r="B310" t="s">
        <v>723</v>
      </c>
      <c r="C310" t="s">
        <v>724</v>
      </c>
      <c r="D310" t="s">
        <v>1168</v>
      </c>
      <c r="E310" t="s">
        <v>25</v>
      </c>
      <c r="F310" t="s">
        <v>26</v>
      </c>
      <c r="G310" t="str">
        <f t="shared" si="35"/>
        <v>37</v>
      </c>
      <c r="H310" t="str">
        <f>"10"</f>
        <v>10</v>
      </c>
      <c r="I310" t="s">
        <v>1027</v>
      </c>
      <c r="J310">
        <v>10</v>
      </c>
      <c r="K310">
        <v>10</v>
      </c>
      <c r="L310" t="s">
        <v>28</v>
      </c>
      <c r="M310" t="s">
        <v>1169</v>
      </c>
      <c r="N310">
        <v>1</v>
      </c>
      <c r="O310" t="str">
        <f>"721"</f>
        <v>721</v>
      </c>
      <c r="P310" t="s">
        <v>1029</v>
      </c>
      <c r="Q310" t="s">
        <v>1027</v>
      </c>
      <c r="R310" t="s">
        <v>31</v>
      </c>
      <c r="S310" t="s">
        <v>28</v>
      </c>
      <c r="T310" t="s">
        <v>1170</v>
      </c>
      <c r="U310" t="s">
        <v>1171</v>
      </c>
      <c r="V310" t="s">
        <v>1172</v>
      </c>
    </row>
    <row r="311" spans="1:22" x14ac:dyDescent="0.25">
      <c r="A311" t="str">
        <f t="shared" si="34"/>
        <v>10807</v>
      </c>
      <c r="B311" t="s">
        <v>723</v>
      </c>
      <c r="C311" t="s">
        <v>724</v>
      </c>
      <c r="D311" t="s">
        <v>1173</v>
      </c>
      <c r="E311" t="s">
        <v>25</v>
      </c>
      <c r="F311" t="s">
        <v>26</v>
      </c>
      <c r="G311" t="str">
        <f t="shared" si="35"/>
        <v>37</v>
      </c>
      <c r="H311" t="str">
        <f>"11"</f>
        <v>11</v>
      </c>
      <c r="I311" t="s">
        <v>27</v>
      </c>
      <c r="J311">
        <v>30</v>
      </c>
      <c r="K311">
        <v>0</v>
      </c>
      <c r="L311" t="s">
        <v>28</v>
      </c>
      <c r="M311" t="s">
        <v>1174</v>
      </c>
      <c r="N311">
        <v>1</v>
      </c>
      <c r="O311" t="str">
        <f>"722"</f>
        <v>722</v>
      </c>
      <c r="P311" t="s">
        <v>1175</v>
      </c>
      <c r="Q311" t="s">
        <v>27</v>
      </c>
      <c r="R311" t="s">
        <v>31</v>
      </c>
      <c r="S311" t="s">
        <v>28</v>
      </c>
      <c r="T311" t="str">
        <f>"74821447"</f>
        <v>74821447</v>
      </c>
      <c r="U311" t="s">
        <v>1176</v>
      </c>
      <c r="V311" t="s">
        <v>1177</v>
      </c>
    </row>
    <row r="312" spans="1:22" x14ac:dyDescent="0.25">
      <c r="A312" t="str">
        <f t="shared" si="34"/>
        <v>10807</v>
      </c>
      <c r="B312" t="s">
        <v>723</v>
      </c>
      <c r="C312" t="s">
        <v>724</v>
      </c>
      <c r="D312" t="s">
        <v>1178</v>
      </c>
      <c r="E312" t="s">
        <v>25</v>
      </c>
      <c r="F312" t="s">
        <v>26</v>
      </c>
      <c r="G312" t="str">
        <f t="shared" si="35"/>
        <v>37</v>
      </c>
      <c r="H312" t="str">
        <f>"10"</f>
        <v>10</v>
      </c>
      <c r="I312" t="s">
        <v>37</v>
      </c>
      <c r="J312">
        <v>30</v>
      </c>
      <c r="K312">
        <v>0</v>
      </c>
      <c r="L312" t="s">
        <v>28</v>
      </c>
      <c r="M312" t="s">
        <v>1179</v>
      </c>
      <c r="N312">
        <v>1</v>
      </c>
      <c r="O312" t="str">
        <f>"723"</f>
        <v>723</v>
      </c>
      <c r="P312" t="s">
        <v>1087</v>
      </c>
      <c r="Q312" t="s">
        <v>37</v>
      </c>
      <c r="R312" t="s">
        <v>31</v>
      </c>
      <c r="S312" t="s">
        <v>28</v>
      </c>
      <c r="T312" t="str">
        <f>"49509307"</f>
        <v>49509307</v>
      </c>
      <c r="U312" t="s">
        <v>1088</v>
      </c>
      <c r="V312" t="s">
        <v>1089</v>
      </c>
    </row>
    <row r="313" spans="1:22" x14ac:dyDescent="0.25">
      <c r="A313" t="str">
        <f t="shared" si="34"/>
        <v>10807</v>
      </c>
      <c r="B313" t="s">
        <v>723</v>
      </c>
      <c r="C313" t="s">
        <v>724</v>
      </c>
      <c r="D313" t="s">
        <v>1180</v>
      </c>
      <c r="E313" t="s">
        <v>25</v>
      </c>
      <c r="F313" t="s">
        <v>26</v>
      </c>
      <c r="G313" t="str">
        <f t="shared" si="35"/>
        <v>37</v>
      </c>
      <c r="H313" t="str">
        <f>"10"</f>
        <v>10</v>
      </c>
      <c r="I313" t="s">
        <v>1027</v>
      </c>
      <c r="J313">
        <v>10</v>
      </c>
      <c r="K313">
        <v>10</v>
      </c>
      <c r="L313" t="s">
        <v>28</v>
      </c>
      <c r="M313" t="s">
        <v>1181</v>
      </c>
      <c r="N313">
        <v>1</v>
      </c>
      <c r="O313" t="str">
        <f>"721"</f>
        <v>721</v>
      </c>
      <c r="P313" t="s">
        <v>1029</v>
      </c>
      <c r="Q313" t="s">
        <v>1027</v>
      </c>
      <c r="R313" t="s">
        <v>31</v>
      </c>
      <c r="S313" t="s">
        <v>28</v>
      </c>
      <c r="T313" t="s">
        <v>1182</v>
      </c>
      <c r="U313" t="s">
        <v>1183</v>
      </c>
      <c r="V313" t="s">
        <v>1097</v>
      </c>
    </row>
    <row r="314" spans="1:22" x14ac:dyDescent="0.25">
      <c r="A314" t="str">
        <f t="shared" si="34"/>
        <v>10807</v>
      </c>
      <c r="B314" t="s">
        <v>723</v>
      </c>
      <c r="C314" t="s">
        <v>724</v>
      </c>
      <c r="D314" t="s">
        <v>1184</v>
      </c>
      <c r="E314" t="s">
        <v>25</v>
      </c>
      <c r="F314" t="s">
        <v>26</v>
      </c>
      <c r="G314" t="str">
        <f t="shared" si="35"/>
        <v>37</v>
      </c>
      <c r="H314" t="str">
        <f>"11"</f>
        <v>11</v>
      </c>
      <c r="I314" t="s">
        <v>37</v>
      </c>
      <c r="J314">
        <v>10</v>
      </c>
      <c r="K314">
        <v>0</v>
      </c>
      <c r="L314" t="s">
        <v>28</v>
      </c>
      <c r="M314" t="s">
        <v>1185</v>
      </c>
      <c r="N314">
        <v>1</v>
      </c>
      <c r="O314" t="str">
        <f>"722"</f>
        <v>722</v>
      </c>
      <c r="P314" t="s">
        <v>1186</v>
      </c>
      <c r="Q314" t="s">
        <v>37</v>
      </c>
      <c r="R314" t="s">
        <v>31</v>
      </c>
      <c r="S314" t="s">
        <v>28</v>
      </c>
      <c r="T314" t="str">
        <f>"45526206"</f>
        <v>45526206</v>
      </c>
      <c r="U314" t="s">
        <v>1187</v>
      </c>
      <c r="V314" t="s">
        <v>1188</v>
      </c>
    </row>
    <row r="315" spans="1:22" x14ac:dyDescent="0.25">
      <c r="A315" t="str">
        <f t="shared" si="34"/>
        <v>10807</v>
      </c>
      <c r="B315" t="s">
        <v>723</v>
      </c>
      <c r="C315" t="s">
        <v>724</v>
      </c>
      <c r="D315" t="s">
        <v>1189</v>
      </c>
      <c r="E315" t="s">
        <v>25</v>
      </c>
      <c r="F315" t="s">
        <v>26</v>
      </c>
      <c r="G315" t="str">
        <f t="shared" si="35"/>
        <v>37</v>
      </c>
      <c r="H315" t="str">
        <f>"11"</f>
        <v>11</v>
      </c>
      <c r="I315" t="s">
        <v>37</v>
      </c>
      <c r="J315">
        <v>20</v>
      </c>
      <c r="K315">
        <v>0</v>
      </c>
      <c r="L315" t="s">
        <v>28</v>
      </c>
      <c r="M315" t="s">
        <v>1190</v>
      </c>
      <c r="N315">
        <v>1</v>
      </c>
      <c r="O315" t="str">
        <f>"722"</f>
        <v>722</v>
      </c>
      <c r="P315" t="s">
        <v>1191</v>
      </c>
      <c r="Q315" t="s">
        <v>37</v>
      </c>
      <c r="R315" t="s">
        <v>31</v>
      </c>
      <c r="S315" t="s">
        <v>28</v>
      </c>
      <c r="T315" t="str">
        <f>"45351418"</f>
        <v>45351418</v>
      </c>
      <c r="U315" t="s">
        <v>1192</v>
      </c>
      <c r="V315" t="s">
        <v>1193</v>
      </c>
    </row>
    <row r="316" spans="1:22" x14ac:dyDescent="0.25">
      <c r="A316" t="str">
        <f t="shared" si="34"/>
        <v>10807</v>
      </c>
      <c r="B316" t="s">
        <v>723</v>
      </c>
      <c r="C316" t="s">
        <v>724</v>
      </c>
      <c r="D316" t="s">
        <v>1194</v>
      </c>
      <c r="E316" t="s">
        <v>25</v>
      </c>
      <c r="F316" t="s">
        <v>26</v>
      </c>
      <c r="G316" t="str">
        <f t="shared" si="35"/>
        <v>37</v>
      </c>
      <c r="H316" t="str">
        <f>"10"</f>
        <v>10</v>
      </c>
      <c r="I316" t="s">
        <v>1027</v>
      </c>
      <c r="J316">
        <v>10</v>
      </c>
      <c r="K316">
        <v>10</v>
      </c>
      <c r="L316" t="s">
        <v>28</v>
      </c>
      <c r="M316" t="s">
        <v>1195</v>
      </c>
      <c r="N316">
        <v>1</v>
      </c>
      <c r="O316" t="str">
        <f>"721"</f>
        <v>721</v>
      </c>
      <c r="P316" t="s">
        <v>1029</v>
      </c>
      <c r="Q316" t="s">
        <v>1027</v>
      </c>
      <c r="R316" t="s">
        <v>31</v>
      </c>
      <c r="S316" t="s">
        <v>28</v>
      </c>
      <c r="T316" t="s">
        <v>1196</v>
      </c>
      <c r="U316" t="s">
        <v>1197</v>
      </c>
      <c r="V316" t="s">
        <v>1097</v>
      </c>
    </row>
    <row r="317" spans="1:22" x14ac:dyDescent="0.25">
      <c r="A317" t="str">
        <f t="shared" si="34"/>
        <v>10807</v>
      </c>
      <c r="B317" t="s">
        <v>723</v>
      </c>
      <c r="C317" t="s">
        <v>724</v>
      </c>
      <c r="D317" t="s">
        <v>1198</v>
      </c>
      <c r="E317" t="s">
        <v>25</v>
      </c>
      <c r="F317" t="s">
        <v>26</v>
      </c>
      <c r="G317" t="str">
        <f t="shared" si="35"/>
        <v>37</v>
      </c>
      <c r="H317" t="str">
        <f>"11"</f>
        <v>11</v>
      </c>
      <c r="I317" t="s">
        <v>37</v>
      </c>
      <c r="J317">
        <v>20</v>
      </c>
      <c r="K317">
        <v>0</v>
      </c>
      <c r="L317" t="s">
        <v>28</v>
      </c>
      <c r="M317" t="s">
        <v>1199</v>
      </c>
      <c r="N317">
        <v>1</v>
      </c>
      <c r="O317" t="str">
        <f>"722"</f>
        <v>722</v>
      </c>
      <c r="P317" t="s">
        <v>1200</v>
      </c>
      <c r="Q317" t="s">
        <v>37</v>
      </c>
      <c r="R317" t="s">
        <v>31</v>
      </c>
      <c r="S317" t="s">
        <v>28</v>
      </c>
      <c r="T317" t="str">
        <f>"95841881"</f>
        <v>95841881</v>
      </c>
      <c r="U317" t="s">
        <v>1201</v>
      </c>
      <c r="V317" t="s">
        <v>1202</v>
      </c>
    </row>
    <row r="318" spans="1:22" x14ac:dyDescent="0.25">
      <c r="A318" t="str">
        <f t="shared" ref="A318:A379" si="44">"10807"</f>
        <v>10807</v>
      </c>
      <c r="B318" t="s">
        <v>723</v>
      </c>
      <c r="C318" t="s">
        <v>724</v>
      </c>
      <c r="D318" t="s">
        <v>1203</v>
      </c>
      <c r="E318" t="s">
        <v>25</v>
      </c>
      <c r="F318" t="s">
        <v>26</v>
      </c>
      <c r="G318" t="str">
        <f t="shared" ref="G318:G330" si="45">"37"</f>
        <v>37</v>
      </c>
      <c r="H318" t="str">
        <f>"11"</f>
        <v>11</v>
      </c>
      <c r="I318" t="s">
        <v>37</v>
      </c>
      <c r="J318">
        <v>10</v>
      </c>
      <c r="K318">
        <v>0</v>
      </c>
      <c r="L318" t="s">
        <v>28</v>
      </c>
      <c r="M318" t="s">
        <v>1204</v>
      </c>
      <c r="N318">
        <v>1</v>
      </c>
      <c r="O318" t="str">
        <f>"722"</f>
        <v>722</v>
      </c>
      <c r="P318" t="s">
        <v>1165</v>
      </c>
      <c r="Q318" t="s">
        <v>37</v>
      </c>
      <c r="R318" t="s">
        <v>31</v>
      </c>
      <c r="S318" t="s">
        <v>28</v>
      </c>
      <c r="T318" t="str">
        <f>"10924919"</f>
        <v>10924919</v>
      </c>
      <c r="U318" t="s">
        <v>1166</v>
      </c>
      <c r="V318" t="s">
        <v>1167</v>
      </c>
    </row>
    <row r="319" spans="1:22" x14ac:dyDescent="0.25">
      <c r="A319" t="str">
        <f t="shared" si="44"/>
        <v>10807</v>
      </c>
      <c r="B319" t="s">
        <v>723</v>
      </c>
      <c r="C319" t="s">
        <v>724</v>
      </c>
      <c r="D319" t="s">
        <v>1205</v>
      </c>
      <c r="E319" t="s">
        <v>25</v>
      </c>
      <c r="F319" t="s">
        <v>26</v>
      </c>
      <c r="G319" t="str">
        <f t="shared" si="45"/>
        <v>37</v>
      </c>
      <c r="H319" t="str">
        <f>"11"</f>
        <v>11</v>
      </c>
      <c r="I319" t="s">
        <v>37</v>
      </c>
      <c r="J319">
        <v>50</v>
      </c>
      <c r="K319">
        <v>0</v>
      </c>
      <c r="L319" t="s">
        <v>28</v>
      </c>
      <c r="M319" t="s">
        <v>1206</v>
      </c>
      <c r="N319">
        <v>1</v>
      </c>
      <c r="O319" t="str">
        <f>"722"</f>
        <v>722</v>
      </c>
      <c r="P319" t="s">
        <v>1207</v>
      </c>
      <c r="Q319" t="s">
        <v>37</v>
      </c>
      <c r="R319" t="s">
        <v>31</v>
      </c>
      <c r="S319" t="s">
        <v>28</v>
      </c>
      <c r="T319" t="str">
        <f>"39885703"</f>
        <v>39885703</v>
      </c>
      <c r="U319" t="s">
        <v>1208</v>
      </c>
      <c r="V319" t="s">
        <v>1209</v>
      </c>
    </row>
    <row r="320" spans="1:22" x14ac:dyDescent="0.25">
      <c r="A320" t="str">
        <f t="shared" si="44"/>
        <v>10807</v>
      </c>
      <c r="B320" t="s">
        <v>723</v>
      </c>
      <c r="C320" t="s">
        <v>724</v>
      </c>
      <c r="D320" t="s">
        <v>1210</v>
      </c>
      <c r="E320" t="s">
        <v>25</v>
      </c>
      <c r="F320" t="s">
        <v>26</v>
      </c>
      <c r="G320" t="str">
        <f t="shared" si="45"/>
        <v>37</v>
      </c>
      <c r="H320" t="str">
        <f>"11"</f>
        <v>11</v>
      </c>
      <c r="I320" t="s">
        <v>37</v>
      </c>
      <c r="J320">
        <v>20</v>
      </c>
      <c r="K320">
        <v>0</v>
      </c>
      <c r="L320" t="s">
        <v>28</v>
      </c>
      <c r="M320" t="s">
        <v>1211</v>
      </c>
      <c r="N320">
        <v>1</v>
      </c>
      <c r="O320" t="str">
        <f>"722"</f>
        <v>722</v>
      </c>
      <c r="P320" t="s">
        <v>1212</v>
      </c>
      <c r="Q320" t="s">
        <v>37</v>
      </c>
      <c r="R320" t="s">
        <v>31</v>
      </c>
      <c r="S320" t="s">
        <v>28</v>
      </c>
      <c r="T320" t="str">
        <f>"72461375"</f>
        <v>72461375</v>
      </c>
      <c r="U320" t="s">
        <v>1213</v>
      </c>
      <c r="V320" t="s">
        <v>1214</v>
      </c>
    </row>
    <row r="321" spans="1:22" x14ac:dyDescent="0.25">
      <c r="A321" t="str">
        <f t="shared" si="44"/>
        <v>10807</v>
      </c>
      <c r="B321" t="s">
        <v>723</v>
      </c>
      <c r="C321" t="s">
        <v>724</v>
      </c>
      <c r="D321" t="s">
        <v>1215</v>
      </c>
      <c r="E321" t="s">
        <v>25</v>
      </c>
      <c r="F321" t="s">
        <v>26</v>
      </c>
      <c r="G321" t="str">
        <f t="shared" si="45"/>
        <v>37</v>
      </c>
      <c r="H321" t="str">
        <f>"10"</f>
        <v>10</v>
      </c>
      <c r="I321" t="s">
        <v>1027</v>
      </c>
      <c r="J321">
        <v>10</v>
      </c>
      <c r="K321">
        <v>10</v>
      </c>
      <c r="L321" t="s">
        <v>28</v>
      </c>
      <c r="M321" t="s">
        <v>1216</v>
      </c>
      <c r="N321">
        <v>1</v>
      </c>
      <c r="O321" t="str">
        <f>"721"</f>
        <v>721</v>
      </c>
      <c r="P321" t="s">
        <v>1029</v>
      </c>
      <c r="Q321" t="s">
        <v>1027</v>
      </c>
      <c r="R321" t="s">
        <v>31</v>
      </c>
      <c r="S321" t="s">
        <v>28</v>
      </c>
      <c r="T321" t="s">
        <v>1217</v>
      </c>
      <c r="U321" t="s">
        <v>1218</v>
      </c>
      <c r="V321" t="s">
        <v>1219</v>
      </c>
    </row>
    <row r="322" spans="1:22" x14ac:dyDescent="0.25">
      <c r="A322" t="str">
        <f t="shared" si="44"/>
        <v>10807</v>
      </c>
      <c r="B322" t="s">
        <v>723</v>
      </c>
      <c r="C322" t="s">
        <v>724</v>
      </c>
      <c r="D322" t="s">
        <v>1220</v>
      </c>
      <c r="E322" t="s">
        <v>25</v>
      </c>
      <c r="F322" t="s">
        <v>26</v>
      </c>
      <c r="G322" t="str">
        <f t="shared" si="45"/>
        <v>37</v>
      </c>
      <c r="H322" t="str">
        <f>"10"</f>
        <v>10</v>
      </c>
      <c r="I322" t="s">
        <v>1027</v>
      </c>
      <c r="J322">
        <v>10</v>
      </c>
      <c r="K322">
        <v>10</v>
      </c>
      <c r="L322" t="s">
        <v>28</v>
      </c>
      <c r="M322" t="s">
        <v>1221</v>
      </c>
      <c r="N322">
        <v>1</v>
      </c>
      <c r="O322" t="str">
        <f>"721"</f>
        <v>721</v>
      </c>
      <c r="P322" t="s">
        <v>1029</v>
      </c>
      <c r="Q322" t="s">
        <v>1027</v>
      </c>
      <c r="R322" t="s">
        <v>31</v>
      </c>
      <c r="S322" t="s">
        <v>28</v>
      </c>
      <c r="T322" t="s">
        <v>1222</v>
      </c>
      <c r="U322" t="s">
        <v>1223</v>
      </c>
      <c r="V322" t="s">
        <v>1097</v>
      </c>
    </row>
    <row r="323" spans="1:22" x14ac:dyDescent="0.25">
      <c r="A323" t="str">
        <f t="shared" si="44"/>
        <v>10807</v>
      </c>
      <c r="B323" t="s">
        <v>1224</v>
      </c>
      <c r="C323" t="s">
        <v>1225</v>
      </c>
      <c r="D323" t="s">
        <v>1226</v>
      </c>
      <c r="E323" t="s">
        <v>25</v>
      </c>
      <c r="F323" t="s">
        <v>26</v>
      </c>
      <c r="G323" t="str">
        <f t="shared" si="45"/>
        <v>37</v>
      </c>
      <c r="H323" t="str">
        <f>"11"</f>
        <v>11</v>
      </c>
      <c r="I323" t="s">
        <v>1228</v>
      </c>
      <c r="J323">
        <v>40</v>
      </c>
      <c r="K323">
        <v>0</v>
      </c>
      <c r="L323" t="s">
        <v>28</v>
      </c>
      <c r="M323" t="s">
        <v>1229</v>
      </c>
      <c r="N323">
        <v>1</v>
      </c>
      <c r="O323" t="str">
        <f>"722"</f>
        <v>722</v>
      </c>
      <c r="P323" t="s">
        <v>1230</v>
      </c>
      <c r="Q323" t="s">
        <v>1228</v>
      </c>
      <c r="R323" t="s">
        <v>31</v>
      </c>
      <c r="S323" t="s">
        <v>28</v>
      </c>
      <c r="T323" t="str">
        <f>"26951530"</f>
        <v>26951530</v>
      </c>
      <c r="U323" t="s">
        <v>1231</v>
      </c>
      <c r="V323" t="s">
        <v>1232</v>
      </c>
    </row>
    <row r="324" spans="1:22" x14ac:dyDescent="0.25">
      <c r="A324" t="str">
        <f t="shared" si="44"/>
        <v>10807</v>
      </c>
      <c r="B324" t="s">
        <v>1224</v>
      </c>
      <c r="C324" t="s">
        <v>1225</v>
      </c>
      <c r="D324" t="s">
        <v>1233</v>
      </c>
      <c r="E324" t="s">
        <v>25</v>
      </c>
      <c r="F324" t="s">
        <v>26</v>
      </c>
      <c r="G324" t="str">
        <f t="shared" si="45"/>
        <v>37</v>
      </c>
      <c r="H324" t="str">
        <f>"11"</f>
        <v>11</v>
      </c>
      <c r="I324" t="s">
        <v>37</v>
      </c>
      <c r="J324">
        <v>20</v>
      </c>
      <c r="K324">
        <v>0</v>
      </c>
      <c r="L324" t="s">
        <v>28</v>
      </c>
      <c r="M324" t="s">
        <v>1235</v>
      </c>
      <c r="N324">
        <v>1</v>
      </c>
      <c r="O324" t="str">
        <f>"722"</f>
        <v>722</v>
      </c>
      <c r="P324" t="s">
        <v>1236</v>
      </c>
      <c r="Q324" t="s">
        <v>37</v>
      </c>
      <c r="R324" t="s">
        <v>31</v>
      </c>
      <c r="S324" t="s">
        <v>28</v>
      </c>
      <c r="T324" t="str">
        <f>"99175261"</f>
        <v>99175261</v>
      </c>
      <c r="U324" t="s">
        <v>1237</v>
      </c>
      <c r="V324" t="s">
        <v>1238</v>
      </c>
    </row>
    <row r="325" spans="1:22" x14ac:dyDescent="0.25">
      <c r="A325" t="str">
        <f t="shared" si="44"/>
        <v>10807</v>
      </c>
      <c r="B325" t="s">
        <v>1224</v>
      </c>
      <c r="C325" t="s">
        <v>1225</v>
      </c>
      <c r="D325" t="s">
        <v>1239</v>
      </c>
      <c r="E325" t="s">
        <v>25</v>
      </c>
      <c r="F325" t="s">
        <v>26</v>
      </c>
      <c r="G325" t="str">
        <f t="shared" si="45"/>
        <v>37</v>
      </c>
      <c r="H325" t="str">
        <f>"11"</f>
        <v>11</v>
      </c>
      <c r="I325" t="s">
        <v>37</v>
      </c>
      <c r="J325">
        <v>20</v>
      </c>
      <c r="K325">
        <v>0</v>
      </c>
      <c r="L325" t="s">
        <v>28</v>
      </c>
      <c r="M325" t="s">
        <v>1241</v>
      </c>
      <c r="N325">
        <v>1</v>
      </c>
      <c r="O325" t="str">
        <f>"722"</f>
        <v>722</v>
      </c>
      <c r="P325" t="s">
        <v>1242</v>
      </c>
      <c r="Q325" t="s">
        <v>37</v>
      </c>
      <c r="R325" t="s">
        <v>31</v>
      </c>
      <c r="S325" t="s">
        <v>28</v>
      </c>
      <c r="T325" t="str">
        <f>"09293338"</f>
        <v>09293338</v>
      </c>
      <c r="U325" t="s">
        <v>1243</v>
      </c>
      <c r="V325" t="s">
        <v>1244</v>
      </c>
    </row>
    <row r="326" spans="1:22" x14ac:dyDescent="0.25">
      <c r="A326" t="str">
        <f t="shared" si="44"/>
        <v>10807</v>
      </c>
      <c r="B326" t="s">
        <v>1224</v>
      </c>
      <c r="C326" t="s">
        <v>1225</v>
      </c>
      <c r="D326" t="s">
        <v>1245</v>
      </c>
      <c r="E326" t="s">
        <v>25</v>
      </c>
      <c r="F326" t="s">
        <v>26</v>
      </c>
      <c r="G326" t="str">
        <f t="shared" si="45"/>
        <v>37</v>
      </c>
      <c r="H326" t="str">
        <f>"12"</f>
        <v>12</v>
      </c>
      <c r="I326" t="s">
        <v>1246</v>
      </c>
      <c r="J326">
        <v>50</v>
      </c>
      <c r="K326">
        <v>0</v>
      </c>
      <c r="L326" t="s">
        <v>28</v>
      </c>
      <c r="M326" t="s">
        <v>1247</v>
      </c>
      <c r="N326">
        <v>1</v>
      </c>
      <c r="O326" t="str">
        <f>"723"</f>
        <v>723</v>
      </c>
      <c r="P326" t="s">
        <v>1248</v>
      </c>
      <c r="Q326" t="s">
        <v>1246</v>
      </c>
      <c r="R326" t="s">
        <v>31</v>
      </c>
      <c r="S326" t="s">
        <v>28</v>
      </c>
      <c r="T326" t="str">
        <f>"55761833"</f>
        <v>55761833</v>
      </c>
      <c r="U326" t="s">
        <v>1249</v>
      </c>
      <c r="V326" t="s">
        <v>1250</v>
      </c>
    </row>
    <row r="327" spans="1:22" x14ac:dyDescent="0.25">
      <c r="A327" t="str">
        <f t="shared" si="44"/>
        <v>10807</v>
      </c>
      <c r="B327" t="s">
        <v>1224</v>
      </c>
      <c r="C327" t="s">
        <v>1225</v>
      </c>
      <c r="D327" t="s">
        <v>1251</v>
      </c>
      <c r="E327" t="s">
        <v>25</v>
      </c>
      <c r="F327" t="s">
        <v>26</v>
      </c>
      <c r="G327" t="str">
        <f t="shared" si="45"/>
        <v>37</v>
      </c>
      <c r="H327" t="str">
        <f>"11"</f>
        <v>11</v>
      </c>
      <c r="I327" t="s">
        <v>1253</v>
      </c>
      <c r="J327">
        <v>40</v>
      </c>
      <c r="K327">
        <v>0</v>
      </c>
      <c r="L327" t="s">
        <v>28</v>
      </c>
      <c r="M327" t="s">
        <v>1254</v>
      </c>
      <c r="N327">
        <v>1</v>
      </c>
      <c r="O327" t="str">
        <f>"722"</f>
        <v>722</v>
      </c>
      <c r="P327" t="s">
        <v>1255</v>
      </c>
      <c r="Q327" t="s">
        <v>1253</v>
      </c>
      <c r="R327" t="s">
        <v>31</v>
      </c>
      <c r="S327" t="s">
        <v>28</v>
      </c>
      <c r="T327" t="str">
        <f>"09231235"</f>
        <v>09231235</v>
      </c>
      <c r="U327" t="s">
        <v>1256</v>
      </c>
      <c r="V327" t="s">
        <v>1257</v>
      </c>
    </row>
    <row r="328" spans="1:22" x14ac:dyDescent="0.25">
      <c r="A328" t="str">
        <f t="shared" si="44"/>
        <v>10807</v>
      </c>
      <c r="B328" t="s">
        <v>1224</v>
      </c>
      <c r="C328" t="s">
        <v>1225</v>
      </c>
      <c r="D328" t="s">
        <v>1258</v>
      </c>
      <c r="E328" t="s">
        <v>25</v>
      </c>
      <c r="F328" t="s">
        <v>26</v>
      </c>
      <c r="G328" t="str">
        <f t="shared" si="45"/>
        <v>37</v>
      </c>
      <c r="H328" t="str">
        <f>"11"</f>
        <v>11</v>
      </c>
      <c r="I328" t="s">
        <v>1253</v>
      </c>
      <c r="J328">
        <v>50</v>
      </c>
      <c r="K328">
        <v>0</v>
      </c>
      <c r="L328" t="s">
        <v>28</v>
      </c>
      <c r="M328" t="s">
        <v>1259</v>
      </c>
      <c r="N328">
        <v>1</v>
      </c>
      <c r="O328" t="str">
        <f>"722"</f>
        <v>722</v>
      </c>
      <c r="P328" t="s">
        <v>1260</v>
      </c>
      <c r="Q328" t="s">
        <v>1253</v>
      </c>
      <c r="R328" t="s">
        <v>31</v>
      </c>
      <c r="S328" t="s">
        <v>28</v>
      </c>
      <c r="T328" t="str">
        <f>"99694783"</f>
        <v>99694783</v>
      </c>
      <c r="U328" t="s">
        <v>1261</v>
      </c>
      <c r="V328" t="s">
        <v>1262</v>
      </c>
    </row>
    <row r="329" spans="1:22" x14ac:dyDescent="0.25">
      <c r="A329" t="str">
        <f t="shared" si="44"/>
        <v>10807</v>
      </c>
      <c r="B329" t="s">
        <v>1224</v>
      </c>
      <c r="C329" t="s">
        <v>1225</v>
      </c>
      <c r="D329" t="s">
        <v>1263</v>
      </c>
      <c r="E329" t="s">
        <v>25</v>
      </c>
      <c r="F329" t="s">
        <v>26</v>
      </c>
      <c r="G329" t="str">
        <f t="shared" si="45"/>
        <v>37</v>
      </c>
      <c r="H329" t="str">
        <f>"11"</f>
        <v>11</v>
      </c>
      <c r="I329" t="s">
        <v>1264</v>
      </c>
      <c r="J329">
        <v>50</v>
      </c>
      <c r="K329">
        <v>0</v>
      </c>
      <c r="L329" t="s">
        <v>28</v>
      </c>
      <c r="M329" t="s">
        <v>1265</v>
      </c>
      <c r="N329">
        <v>1</v>
      </c>
      <c r="O329" t="str">
        <f>"722"</f>
        <v>722</v>
      </c>
      <c r="P329" t="s">
        <v>1266</v>
      </c>
      <c r="Q329" t="s">
        <v>1264</v>
      </c>
      <c r="R329" t="s">
        <v>31</v>
      </c>
      <c r="S329" t="s">
        <v>28</v>
      </c>
      <c r="T329" t="str">
        <f>"99694783"</f>
        <v>99694783</v>
      </c>
      <c r="U329" t="s">
        <v>1261</v>
      </c>
      <c r="V329" t="s">
        <v>1262</v>
      </c>
    </row>
    <row r="330" spans="1:22" x14ac:dyDescent="0.25">
      <c r="A330" t="str">
        <f t="shared" si="44"/>
        <v>10807</v>
      </c>
      <c r="B330" t="s">
        <v>1224</v>
      </c>
      <c r="C330" t="s">
        <v>1225</v>
      </c>
      <c r="D330" t="s">
        <v>1267</v>
      </c>
      <c r="E330" t="s">
        <v>25</v>
      </c>
      <c r="F330" t="s">
        <v>26</v>
      </c>
      <c r="G330" t="str">
        <f t="shared" si="45"/>
        <v>37</v>
      </c>
      <c r="H330" t="str">
        <f>"11"</f>
        <v>11</v>
      </c>
      <c r="I330" t="s">
        <v>37</v>
      </c>
      <c r="J330">
        <v>30</v>
      </c>
      <c r="K330">
        <v>0</v>
      </c>
      <c r="L330" t="s">
        <v>28</v>
      </c>
      <c r="M330" t="s">
        <v>1268</v>
      </c>
      <c r="N330">
        <v>1</v>
      </c>
      <c r="O330" t="str">
        <f>"722"</f>
        <v>722</v>
      </c>
      <c r="P330" t="s">
        <v>1269</v>
      </c>
      <c r="Q330" t="s">
        <v>37</v>
      </c>
      <c r="R330" t="s">
        <v>31</v>
      </c>
      <c r="S330" t="s">
        <v>28</v>
      </c>
      <c r="T330" t="str">
        <f>"72422606"</f>
        <v>72422606</v>
      </c>
      <c r="U330" t="s">
        <v>1270</v>
      </c>
      <c r="V330" t="s">
        <v>1271</v>
      </c>
    </row>
    <row r="331" spans="1:22" x14ac:dyDescent="0.25">
      <c r="A331" t="str">
        <f t="shared" si="44"/>
        <v>10807</v>
      </c>
      <c r="B331" t="s">
        <v>1275</v>
      </c>
      <c r="C331" t="s">
        <v>1276</v>
      </c>
      <c r="D331" t="s">
        <v>1277</v>
      </c>
      <c r="E331" t="s">
        <v>25</v>
      </c>
      <c r="F331" t="s">
        <v>26</v>
      </c>
      <c r="G331" t="str">
        <f t="shared" ref="G331:G356" si="46">"37"</f>
        <v>37</v>
      </c>
      <c r="H331" t="str">
        <f t="shared" ref="H331:H343" si="47">"11"</f>
        <v>11</v>
      </c>
      <c r="I331" t="s">
        <v>1246</v>
      </c>
      <c r="J331">
        <v>300</v>
      </c>
      <c r="K331">
        <v>300</v>
      </c>
      <c r="L331" t="s">
        <v>28</v>
      </c>
      <c r="M331" t="s">
        <v>1278</v>
      </c>
      <c r="N331">
        <v>1</v>
      </c>
      <c r="O331" t="str">
        <f>"723"</f>
        <v>723</v>
      </c>
      <c r="P331" t="s">
        <v>1279</v>
      </c>
      <c r="Q331" t="s">
        <v>1246</v>
      </c>
      <c r="R331" t="s">
        <v>31</v>
      </c>
      <c r="S331" t="s">
        <v>28</v>
      </c>
      <c r="T331" t="str">
        <f>"66643216"</f>
        <v>66643216</v>
      </c>
      <c r="U331" t="s">
        <v>1280</v>
      </c>
      <c r="V331" t="s">
        <v>1281</v>
      </c>
    </row>
    <row r="332" spans="1:22" x14ac:dyDescent="0.25">
      <c r="A332" t="str">
        <f t="shared" si="44"/>
        <v>10807</v>
      </c>
      <c r="B332" t="s">
        <v>1275</v>
      </c>
      <c r="C332" t="s">
        <v>1276</v>
      </c>
      <c r="D332" t="s">
        <v>1282</v>
      </c>
      <c r="E332" t="s">
        <v>25</v>
      </c>
      <c r="F332" t="s">
        <v>26</v>
      </c>
      <c r="G332" t="str">
        <f t="shared" si="46"/>
        <v>37</v>
      </c>
      <c r="H332" t="str">
        <f t="shared" si="47"/>
        <v>11</v>
      </c>
      <c r="I332" t="s">
        <v>1228</v>
      </c>
      <c r="J332">
        <v>30</v>
      </c>
      <c r="K332">
        <v>30</v>
      </c>
      <c r="L332" t="s">
        <v>28</v>
      </c>
      <c r="M332" t="s">
        <v>1283</v>
      </c>
      <c r="N332">
        <v>1</v>
      </c>
      <c r="O332" t="str">
        <f t="shared" ref="O332:O343" si="48">"722"</f>
        <v>722</v>
      </c>
      <c r="P332" t="s">
        <v>1284</v>
      </c>
      <c r="Q332" t="s">
        <v>1228</v>
      </c>
      <c r="R332" t="s">
        <v>31</v>
      </c>
      <c r="S332" t="s">
        <v>28</v>
      </c>
      <c r="T332" t="str">
        <f>"78942554"</f>
        <v>78942554</v>
      </c>
      <c r="U332" t="s">
        <v>1285</v>
      </c>
      <c r="V332" t="s">
        <v>1286</v>
      </c>
    </row>
    <row r="333" spans="1:22" x14ac:dyDescent="0.25">
      <c r="A333" t="str">
        <f t="shared" si="44"/>
        <v>10807</v>
      </c>
      <c r="B333" t="s">
        <v>1275</v>
      </c>
      <c r="C333" t="s">
        <v>1276</v>
      </c>
      <c r="D333" t="s">
        <v>1287</v>
      </c>
      <c r="E333" t="s">
        <v>25</v>
      </c>
      <c r="F333" t="s">
        <v>26</v>
      </c>
      <c r="G333" t="str">
        <f t="shared" si="46"/>
        <v>37</v>
      </c>
      <c r="H333" t="str">
        <f t="shared" si="47"/>
        <v>11</v>
      </c>
      <c r="I333" t="s">
        <v>1228</v>
      </c>
      <c r="J333">
        <v>50</v>
      </c>
      <c r="K333">
        <v>50</v>
      </c>
      <c r="L333" t="s">
        <v>28</v>
      </c>
      <c r="M333" t="s">
        <v>1288</v>
      </c>
      <c r="N333">
        <v>1</v>
      </c>
      <c r="O333" t="str">
        <f t="shared" si="48"/>
        <v>722</v>
      </c>
      <c r="P333" t="s">
        <v>1284</v>
      </c>
      <c r="Q333" t="s">
        <v>1228</v>
      </c>
      <c r="R333" t="s">
        <v>31</v>
      </c>
      <c r="S333" t="s">
        <v>28</v>
      </c>
      <c r="T333" t="str">
        <f>"78943792"</f>
        <v>78943792</v>
      </c>
      <c r="U333" t="s">
        <v>1289</v>
      </c>
      <c r="V333" t="s">
        <v>1290</v>
      </c>
    </row>
    <row r="334" spans="1:22" x14ac:dyDescent="0.25">
      <c r="A334" t="str">
        <f t="shared" si="44"/>
        <v>10807</v>
      </c>
      <c r="B334" t="s">
        <v>1275</v>
      </c>
      <c r="C334" t="s">
        <v>1276</v>
      </c>
      <c r="D334" t="s">
        <v>1291</v>
      </c>
      <c r="E334" t="s">
        <v>25</v>
      </c>
      <c r="F334" t="s">
        <v>26</v>
      </c>
      <c r="G334" t="str">
        <f t="shared" si="46"/>
        <v>37</v>
      </c>
      <c r="H334" t="str">
        <f t="shared" si="47"/>
        <v>11</v>
      </c>
      <c r="I334" t="s">
        <v>1228</v>
      </c>
      <c r="J334">
        <v>30</v>
      </c>
      <c r="K334">
        <v>30</v>
      </c>
      <c r="L334" t="s">
        <v>28</v>
      </c>
      <c r="M334" t="s">
        <v>1292</v>
      </c>
      <c r="N334">
        <v>1</v>
      </c>
      <c r="O334" t="str">
        <f t="shared" si="48"/>
        <v>722</v>
      </c>
      <c r="P334" t="s">
        <v>1284</v>
      </c>
      <c r="Q334" t="s">
        <v>1228</v>
      </c>
      <c r="R334" t="s">
        <v>31</v>
      </c>
      <c r="S334" t="s">
        <v>28</v>
      </c>
      <c r="T334" t="str">
        <f>"17017005"</f>
        <v>17017005</v>
      </c>
      <c r="U334" t="s">
        <v>1293</v>
      </c>
      <c r="V334" t="s">
        <v>1294</v>
      </c>
    </row>
    <row r="335" spans="1:22" x14ac:dyDescent="0.25">
      <c r="A335" t="str">
        <f t="shared" si="44"/>
        <v>10807</v>
      </c>
      <c r="B335" t="s">
        <v>1275</v>
      </c>
      <c r="C335" t="s">
        <v>1276</v>
      </c>
      <c r="D335" t="s">
        <v>1295</v>
      </c>
      <c r="E335" t="s">
        <v>25</v>
      </c>
      <c r="F335" t="s">
        <v>26</v>
      </c>
      <c r="G335" t="str">
        <f t="shared" si="46"/>
        <v>37</v>
      </c>
      <c r="H335" t="str">
        <f t="shared" si="47"/>
        <v>11</v>
      </c>
      <c r="I335" t="s">
        <v>1228</v>
      </c>
      <c r="J335">
        <v>30</v>
      </c>
      <c r="K335">
        <v>30</v>
      </c>
      <c r="L335" t="s">
        <v>28</v>
      </c>
      <c r="M335" t="s">
        <v>1296</v>
      </c>
      <c r="N335">
        <v>1</v>
      </c>
      <c r="O335" t="str">
        <f t="shared" si="48"/>
        <v>722</v>
      </c>
      <c r="P335" t="s">
        <v>1284</v>
      </c>
      <c r="Q335" t="s">
        <v>1228</v>
      </c>
      <c r="R335" t="s">
        <v>31</v>
      </c>
      <c r="S335" t="s">
        <v>28</v>
      </c>
      <c r="T335" t="str">
        <f>"13675914"</f>
        <v>13675914</v>
      </c>
      <c r="U335" t="s">
        <v>1297</v>
      </c>
      <c r="V335" t="s">
        <v>1298</v>
      </c>
    </row>
    <row r="336" spans="1:22" x14ac:dyDescent="0.25">
      <c r="A336" t="str">
        <f t="shared" si="44"/>
        <v>10807</v>
      </c>
      <c r="B336" t="s">
        <v>1299</v>
      </c>
      <c r="C336" t="s">
        <v>1300</v>
      </c>
      <c r="D336" t="s">
        <v>1301</v>
      </c>
      <c r="E336" t="s">
        <v>25</v>
      </c>
      <c r="F336" t="s">
        <v>26</v>
      </c>
      <c r="G336" t="str">
        <f t="shared" si="46"/>
        <v>37</v>
      </c>
      <c r="H336" t="str">
        <f t="shared" si="47"/>
        <v>11</v>
      </c>
      <c r="I336" t="s">
        <v>1228</v>
      </c>
      <c r="J336">
        <v>20</v>
      </c>
      <c r="K336">
        <v>20</v>
      </c>
      <c r="L336" t="s">
        <v>28</v>
      </c>
      <c r="M336" t="s">
        <v>1302</v>
      </c>
      <c r="N336">
        <v>1</v>
      </c>
      <c r="O336" t="str">
        <f t="shared" si="48"/>
        <v>722</v>
      </c>
      <c r="P336" t="s">
        <v>1303</v>
      </c>
      <c r="Q336" t="s">
        <v>1228</v>
      </c>
      <c r="R336" t="s">
        <v>31</v>
      </c>
      <c r="S336" t="s">
        <v>28</v>
      </c>
      <c r="T336" t="str">
        <f>"15757003"</f>
        <v>15757003</v>
      </c>
      <c r="U336" t="s">
        <v>1304</v>
      </c>
      <c r="V336" t="s">
        <v>1305</v>
      </c>
    </row>
    <row r="337" spans="1:22" x14ac:dyDescent="0.25">
      <c r="A337" t="str">
        <f t="shared" si="44"/>
        <v>10807</v>
      </c>
      <c r="B337" t="s">
        <v>1299</v>
      </c>
      <c r="C337" t="s">
        <v>1300</v>
      </c>
      <c r="D337" t="s">
        <v>1306</v>
      </c>
      <c r="E337" t="s">
        <v>25</v>
      </c>
      <c r="F337" t="s">
        <v>26</v>
      </c>
      <c r="G337" t="str">
        <f t="shared" si="46"/>
        <v>37</v>
      </c>
      <c r="H337" t="str">
        <f t="shared" si="47"/>
        <v>11</v>
      </c>
      <c r="I337" t="s">
        <v>1228</v>
      </c>
      <c r="J337">
        <v>20</v>
      </c>
      <c r="K337">
        <v>20</v>
      </c>
      <c r="L337" t="s">
        <v>28</v>
      </c>
      <c r="M337" t="s">
        <v>1307</v>
      </c>
      <c r="N337">
        <v>1</v>
      </c>
      <c r="O337" t="str">
        <f t="shared" si="48"/>
        <v>722</v>
      </c>
      <c r="P337" t="s">
        <v>1303</v>
      </c>
      <c r="Q337" t="s">
        <v>1228</v>
      </c>
      <c r="R337" t="s">
        <v>31</v>
      </c>
      <c r="S337" t="s">
        <v>28</v>
      </c>
      <c r="T337" t="str">
        <f>"25761370"</f>
        <v>25761370</v>
      </c>
      <c r="U337" t="s">
        <v>1308</v>
      </c>
      <c r="V337" t="s">
        <v>1309</v>
      </c>
    </row>
    <row r="338" spans="1:22" x14ac:dyDescent="0.25">
      <c r="A338" t="str">
        <f t="shared" si="44"/>
        <v>10807</v>
      </c>
      <c r="B338" t="s">
        <v>1299</v>
      </c>
      <c r="C338" t="s">
        <v>1300</v>
      </c>
      <c r="D338" t="s">
        <v>1310</v>
      </c>
      <c r="E338" t="s">
        <v>25</v>
      </c>
      <c r="F338" t="s">
        <v>26</v>
      </c>
      <c r="G338" t="str">
        <f t="shared" si="46"/>
        <v>37</v>
      </c>
      <c r="H338" t="str">
        <f t="shared" si="47"/>
        <v>11</v>
      </c>
      <c r="I338" t="s">
        <v>37</v>
      </c>
      <c r="J338">
        <v>20</v>
      </c>
      <c r="K338">
        <v>20</v>
      </c>
      <c r="L338" t="s">
        <v>28</v>
      </c>
      <c r="M338" t="s">
        <v>1311</v>
      </c>
      <c r="N338">
        <v>1</v>
      </c>
      <c r="O338" t="str">
        <f t="shared" si="48"/>
        <v>722</v>
      </c>
      <c r="P338" t="s">
        <v>1312</v>
      </c>
      <c r="Q338" t="s">
        <v>37</v>
      </c>
      <c r="R338" t="s">
        <v>31</v>
      </c>
      <c r="S338" t="s">
        <v>28</v>
      </c>
      <c r="T338" t="str">
        <f>"25761370"</f>
        <v>25761370</v>
      </c>
      <c r="U338" t="s">
        <v>1308</v>
      </c>
      <c r="V338" t="s">
        <v>1309</v>
      </c>
    </row>
    <row r="339" spans="1:22" x14ac:dyDescent="0.25">
      <c r="A339" t="str">
        <f t="shared" si="44"/>
        <v>10807</v>
      </c>
      <c r="B339" t="s">
        <v>1313</v>
      </c>
      <c r="C339" t="s">
        <v>1314</v>
      </c>
      <c r="D339" t="s">
        <v>1315</v>
      </c>
      <c r="E339" t="s">
        <v>25</v>
      </c>
      <c r="F339" t="s">
        <v>26</v>
      </c>
      <c r="G339" t="str">
        <f t="shared" si="46"/>
        <v>37</v>
      </c>
      <c r="H339" t="str">
        <f t="shared" si="47"/>
        <v>11</v>
      </c>
      <c r="I339" t="s">
        <v>1228</v>
      </c>
      <c r="J339">
        <v>10</v>
      </c>
      <c r="K339">
        <v>0</v>
      </c>
      <c r="L339" t="s">
        <v>28</v>
      </c>
      <c r="M339" t="s">
        <v>1316</v>
      </c>
      <c r="N339">
        <v>1</v>
      </c>
      <c r="O339" t="str">
        <f t="shared" si="48"/>
        <v>722</v>
      </c>
      <c r="P339" t="s">
        <v>1317</v>
      </c>
      <c r="Q339" t="s">
        <v>1228</v>
      </c>
      <c r="R339" t="s">
        <v>31</v>
      </c>
      <c r="S339" t="s">
        <v>28</v>
      </c>
      <c r="T339" t="str">
        <f>"17025820"</f>
        <v>17025820</v>
      </c>
      <c r="U339" t="s">
        <v>1318</v>
      </c>
      <c r="V339" t="s">
        <v>1319</v>
      </c>
    </row>
    <row r="340" spans="1:22" x14ac:dyDescent="0.25">
      <c r="A340" t="str">
        <f t="shared" si="44"/>
        <v>10807</v>
      </c>
      <c r="B340" t="s">
        <v>1313</v>
      </c>
      <c r="C340" t="s">
        <v>1314</v>
      </c>
      <c r="D340" t="s">
        <v>1320</v>
      </c>
      <c r="E340" t="s">
        <v>25</v>
      </c>
      <c r="F340" t="s">
        <v>26</v>
      </c>
      <c r="G340" t="str">
        <f t="shared" si="46"/>
        <v>37</v>
      </c>
      <c r="H340" t="str">
        <f t="shared" si="47"/>
        <v>11</v>
      </c>
      <c r="I340" t="s">
        <v>27</v>
      </c>
      <c r="J340">
        <v>10</v>
      </c>
      <c r="K340">
        <v>0</v>
      </c>
      <c r="L340" t="s">
        <v>28</v>
      </c>
      <c r="M340" t="s">
        <v>1321</v>
      </c>
      <c r="N340">
        <v>1</v>
      </c>
      <c r="O340" t="str">
        <f t="shared" si="48"/>
        <v>722</v>
      </c>
      <c r="P340" t="s">
        <v>1322</v>
      </c>
      <c r="Q340" t="s">
        <v>27</v>
      </c>
      <c r="R340" t="s">
        <v>31</v>
      </c>
      <c r="S340" t="s">
        <v>28</v>
      </c>
      <c r="T340" t="str">
        <f>"87896047"</f>
        <v>87896047</v>
      </c>
      <c r="U340" t="s">
        <v>1323</v>
      </c>
      <c r="V340" t="s">
        <v>1324</v>
      </c>
    </row>
    <row r="341" spans="1:22" x14ac:dyDescent="0.25">
      <c r="A341" t="str">
        <f t="shared" si="44"/>
        <v>10807</v>
      </c>
      <c r="B341" t="s">
        <v>1313</v>
      </c>
      <c r="C341" t="s">
        <v>1314</v>
      </c>
      <c r="D341" t="s">
        <v>1325</v>
      </c>
      <c r="E341" t="s">
        <v>25</v>
      </c>
      <c r="F341" t="s">
        <v>26</v>
      </c>
      <c r="G341" t="str">
        <f t="shared" si="46"/>
        <v>37</v>
      </c>
      <c r="H341" t="str">
        <f t="shared" si="47"/>
        <v>11</v>
      </c>
      <c r="I341" t="s">
        <v>1228</v>
      </c>
      <c r="J341">
        <v>10</v>
      </c>
      <c r="K341">
        <v>0</v>
      </c>
      <c r="L341" t="s">
        <v>28</v>
      </c>
      <c r="M341" t="s">
        <v>1326</v>
      </c>
      <c r="N341">
        <v>1</v>
      </c>
      <c r="O341" t="str">
        <f t="shared" si="48"/>
        <v>722</v>
      </c>
      <c r="P341" t="s">
        <v>1327</v>
      </c>
      <c r="Q341" t="s">
        <v>1228</v>
      </c>
      <c r="R341" t="s">
        <v>31</v>
      </c>
      <c r="S341" t="s">
        <v>28</v>
      </c>
      <c r="T341" t="str">
        <f>"29370071"</f>
        <v>29370071</v>
      </c>
      <c r="U341" t="s">
        <v>1328</v>
      </c>
      <c r="V341" t="s">
        <v>1329</v>
      </c>
    </row>
    <row r="342" spans="1:22" x14ac:dyDescent="0.25">
      <c r="A342" t="str">
        <f t="shared" si="44"/>
        <v>10807</v>
      </c>
      <c r="B342" t="s">
        <v>1313</v>
      </c>
      <c r="C342" t="s">
        <v>1314</v>
      </c>
      <c r="D342" t="s">
        <v>1330</v>
      </c>
      <c r="E342" t="s">
        <v>25</v>
      </c>
      <c r="F342" t="s">
        <v>26</v>
      </c>
      <c r="G342" t="str">
        <f t="shared" si="46"/>
        <v>37</v>
      </c>
      <c r="H342" t="str">
        <f t="shared" si="47"/>
        <v>11</v>
      </c>
      <c r="I342" t="s">
        <v>1331</v>
      </c>
      <c r="J342">
        <v>10</v>
      </c>
      <c r="K342">
        <v>0</v>
      </c>
      <c r="L342" t="s">
        <v>28</v>
      </c>
      <c r="M342" t="s">
        <v>1332</v>
      </c>
      <c r="N342">
        <v>1</v>
      </c>
      <c r="O342" t="str">
        <f t="shared" si="48"/>
        <v>722</v>
      </c>
      <c r="P342" t="s">
        <v>1333</v>
      </c>
      <c r="Q342" t="s">
        <v>1331</v>
      </c>
      <c r="R342" t="s">
        <v>31</v>
      </c>
      <c r="S342" t="s">
        <v>28</v>
      </c>
      <c r="T342" t="str">
        <f>"20254585"</f>
        <v>20254585</v>
      </c>
      <c r="U342" t="s">
        <v>1334</v>
      </c>
      <c r="V342" t="s">
        <v>1335</v>
      </c>
    </row>
    <row r="343" spans="1:22" x14ac:dyDescent="0.25">
      <c r="A343" t="str">
        <f t="shared" si="44"/>
        <v>10807</v>
      </c>
      <c r="B343" t="s">
        <v>1313</v>
      </c>
      <c r="C343" t="s">
        <v>1314</v>
      </c>
      <c r="D343" t="s">
        <v>1336</v>
      </c>
      <c r="E343" t="s">
        <v>25</v>
      </c>
      <c r="F343" t="s">
        <v>26</v>
      </c>
      <c r="G343" t="str">
        <f t="shared" si="46"/>
        <v>37</v>
      </c>
      <c r="H343" t="str">
        <f t="shared" si="47"/>
        <v>11</v>
      </c>
      <c r="I343" t="s">
        <v>1337</v>
      </c>
      <c r="J343">
        <v>30</v>
      </c>
      <c r="K343">
        <v>0</v>
      </c>
      <c r="L343" t="s">
        <v>28</v>
      </c>
      <c r="M343" t="s">
        <v>1338</v>
      </c>
      <c r="N343">
        <v>1</v>
      </c>
      <c r="O343" t="str">
        <f t="shared" si="48"/>
        <v>722</v>
      </c>
      <c r="P343" t="s">
        <v>1339</v>
      </c>
      <c r="Q343" t="s">
        <v>1337</v>
      </c>
      <c r="R343" t="s">
        <v>31</v>
      </c>
      <c r="S343" t="s">
        <v>28</v>
      </c>
      <c r="T343" t="str">
        <f>"47642407"</f>
        <v>47642407</v>
      </c>
      <c r="U343" t="s">
        <v>1340</v>
      </c>
      <c r="V343" t="s">
        <v>1341</v>
      </c>
    </row>
    <row r="344" spans="1:22" x14ac:dyDescent="0.25">
      <c r="A344" t="str">
        <f t="shared" si="44"/>
        <v>10807</v>
      </c>
      <c r="B344" t="s">
        <v>1342</v>
      </c>
      <c r="C344" t="s">
        <v>1343</v>
      </c>
      <c r="D344" t="s">
        <v>1344</v>
      </c>
      <c r="E344" t="s">
        <v>25</v>
      </c>
      <c r="F344" t="s">
        <v>26</v>
      </c>
      <c r="G344" t="str">
        <f t="shared" si="46"/>
        <v>37</v>
      </c>
      <c r="H344" t="str">
        <f>"12"</f>
        <v>12</v>
      </c>
      <c r="I344" t="s">
        <v>1331</v>
      </c>
      <c r="J344">
        <v>57.786000000000001</v>
      </c>
      <c r="K344">
        <v>57.786000000000001</v>
      </c>
      <c r="L344" t="s">
        <v>28</v>
      </c>
      <c r="M344" t="s">
        <v>1345</v>
      </c>
      <c r="N344">
        <v>1</v>
      </c>
      <c r="O344" t="str">
        <f>"723"</f>
        <v>723</v>
      </c>
      <c r="P344" t="s">
        <v>1346</v>
      </c>
      <c r="Q344" t="s">
        <v>1331</v>
      </c>
      <c r="R344" t="s">
        <v>31</v>
      </c>
      <c r="S344" t="s">
        <v>28</v>
      </c>
      <c r="T344" t="str">
        <f>"94511906"</f>
        <v>94511906</v>
      </c>
      <c r="U344" t="s">
        <v>1347</v>
      </c>
      <c r="V344" t="s">
        <v>1348</v>
      </c>
    </row>
    <row r="345" spans="1:22" x14ac:dyDescent="0.25">
      <c r="A345" t="str">
        <f t="shared" si="44"/>
        <v>10807</v>
      </c>
      <c r="B345" t="s">
        <v>1342</v>
      </c>
      <c r="C345" t="s">
        <v>1343</v>
      </c>
      <c r="D345" t="s">
        <v>1349</v>
      </c>
      <c r="E345" t="s">
        <v>25</v>
      </c>
      <c r="F345" t="s">
        <v>26</v>
      </c>
      <c r="G345" t="str">
        <f t="shared" si="46"/>
        <v>37</v>
      </c>
      <c r="H345" t="str">
        <f>"41"</f>
        <v>41</v>
      </c>
      <c r="I345" t="s">
        <v>1027</v>
      </c>
      <c r="J345">
        <v>3</v>
      </c>
      <c r="K345">
        <v>3</v>
      </c>
      <c r="L345" t="s">
        <v>28</v>
      </c>
      <c r="M345" t="s">
        <v>1350</v>
      </c>
      <c r="N345">
        <v>1</v>
      </c>
      <c r="O345" t="str">
        <f>"721"</f>
        <v>721</v>
      </c>
      <c r="P345" t="s">
        <v>1351</v>
      </c>
      <c r="Q345" t="s">
        <v>1027</v>
      </c>
      <c r="R345" t="s">
        <v>31</v>
      </c>
      <c r="S345" t="s">
        <v>28</v>
      </c>
      <c r="T345" t="s">
        <v>1352</v>
      </c>
      <c r="U345" t="s">
        <v>1353</v>
      </c>
      <c r="V345" t="s">
        <v>1354</v>
      </c>
    </row>
    <row r="346" spans="1:22" x14ac:dyDescent="0.25">
      <c r="A346" t="str">
        <f t="shared" si="44"/>
        <v>10807</v>
      </c>
      <c r="B346" t="s">
        <v>1342</v>
      </c>
      <c r="C346" t="s">
        <v>1343</v>
      </c>
      <c r="D346" t="s">
        <v>1355</v>
      </c>
      <c r="E346" t="s">
        <v>25</v>
      </c>
      <c r="F346" t="s">
        <v>26</v>
      </c>
      <c r="G346" t="str">
        <f t="shared" si="46"/>
        <v>37</v>
      </c>
      <c r="H346" t="str">
        <f>"41"</f>
        <v>41</v>
      </c>
      <c r="I346" t="s">
        <v>1027</v>
      </c>
      <c r="J346">
        <v>3</v>
      </c>
      <c r="K346">
        <v>3</v>
      </c>
      <c r="L346" t="s">
        <v>28</v>
      </c>
      <c r="M346" t="s">
        <v>1356</v>
      </c>
      <c r="N346">
        <v>1</v>
      </c>
      <c r="O346" t="str">
        <f>"721"</f>
        <v>721</v>
      </c>
      <c r="P346" t="s">
        <v>1351</v>
      </c>
      <c r="Q346" t="s">
        <v>1027</v>
      </c>
      <c r="R346" t="s">
        <v>31</v>
      </c>
      <c r="S346" t="s">
        <v>28</v>
      </c>
      <c r="T346" t="s">
        <v>1352</v>
      </c>
      <c r="U346" t="s">
        <v>1353</v>
      </c>
      <c r="V346" t="s">
        <v>1354</v>
      </c>
    </row>
    <row r="347" spans="1:22" x14ac:dyDescent="0.25">
      <c r="A347" t="str">
        <f t="shared" si="44"/>
        <v>10807</v>
      </c>
      <c r="B347" t="s">
        <v>1342</v>
      </c>
      <c r="C347" t="s">
        <v>1343</v>
      </c>
      <c r="D347" t="s">
        <v>1357</v>
      </c>
      <c r="E347" t="s">
        <v>25</v>
      </c>
      <c r="F347" t="s">
        <v>26</v>
      </c>
      <c r="G347" t="str">
        <f t="shared" si="46"/>
        <v>37</v>
      </c>
      <c r="H347" t="str">
        <f>"41"</f>
        <v>41</v>
      </c>
      <c r="I347" t="s">
        <v>1027</v>
      </c>
      <c r="J347">
        <v>3</v>
      </c>
      <c r="K347">
        <v>3</v>
      </c>
      <c r="L347" t="s">
        <v>28</v>
      </c>
      <c r="M347" t="s">
        <v>1358</v>
      </c>
      <c r="N347">
        <v>1</v>
      </c>
      <c r="O347" t="str">
        <f>"721"</f>
        <v>721</v>
      </c>
      <c r="P347" t="s">
        <v>1351</v>
      </c>
      <c r="Q347" t="s">
        <v>1027</v>
      </c>
      <c r="R347" t="s">
        <v>31</v>
      </c>
      <c r="S347" t="s">
        <v>28</v>
      </c>
      <c r="T347" t="s">
        <v>1352</v>
      </c>
      <c r="U347" t="s">
        <v>1353</v>
      </c>
      <c r="V347" t="s">
        <v>1354</v>
      </c>
    </row>
    <row r="348" spans="1:22" x14ac:dyDescent="0.25">
      <c r="A348" t="str">
        <f t="shared" si="44"/>
        <v>10807</v>
      </c>
      <c r="B348" t="s">
        <v>1342</v>
      </c>
      <c r="C348" t="s">
        <v>1343</v>
      </c>
      <c r="D348" t="s">
        <v>1359</v>
      </c>
      <c r="E348" t="s">
        <v>25</v>
      </c>
      <c r="F348" t="s">
        <v>26</v>
      </c>
      <c r="G348" t="str">
        <f t="shared" si="46"/>
        <v>37</v>
      </c>
      <c r="H348" t="str">
        <f>"11"</f>
        <v>11</v>
      </c>
      <c r="I348" t="s">
        <v>1331</v>
      </c>
      <c r="J348">
        <v>30</v>
      </c>
      <c r="K348">
        <v>30</v>
      </c>
      <c r="L348" t="s">
        <v>28</v>
      </c>
      <c r="M348" t="s">
        <v>1360</v>
      </c>
      <c r="N348">
        <v>1</v>
      </c>
      <c r="O348" t="str">
        <f>"722"</f>
        <v>722</v>
      </c>
      <c r="P348" t="s">
        <v>1346</v>
      </c>
      <c r="Q348" t="s">
        <v>1331</v>
      </c>
      <c r="R348" t="s">
        <v>31</v>
      </c>
      <c r="S348" t="s">
        <v>28</v>
      </c>
      <c r="T348" t="str">
        <f>"09640626"</f>
        <v>09640626</v>
      </c>
      <c r="U348" t="s">
        <v>1361</v>
      </c>
      <c r="V348" t="s">
        <v>1362</v>
      </c>
    </row>
    <row r="349" spans="1:22" x14ac:dyDescent="0.25">
      <c r="A349" t="str">
        <f t="shared" si="44"/>
        <v>10807</v>
      </c>
      <c r="B349" t="s">
        <v>1342</v>
      </c>
      <c r="C349" t="s">
        <v>1343</v>
      </c>
      <c r="D349" t="s">
        <v>1363</v>
      </c>
      <c r="E349" t="s">
        <v>25</v>
      </c>
      <c r="F349" t="s">
        <v>26</v>
      </c>
      <c r="G349" t="str">
        <f t="shared" si="46"/>
        <v>37</v>
      </c>
      <c r="H349" t="str">
        <f>"11"</f>
        <v>11</v>
      </c>
      <c r="I349" t="s">
        <v>1331</v>
      </c>
      <c r="J349">
        <v>20</v>
      </c>
      <c r="K349">
        <v>20</v>
      </c>
      <c r="L349" t="s">
        <v>28</v>
      </c>
      <c r="M349" t="s">
        <v>1364</v>
      </c>
      <c r="N349">
        <v>1</v>
      </c>
      <c r="O349" t="str">
        <f>"722"</f>
        <v>722</v>
      </c>
      <c r="P349" t="s">
        <v>1346</v>
      </c>
      <c r="Q349" t="s">
        <v>1331</v>
      </c>
      <c r="R349" t="s">
        <v>31</v>
      </c>
      <c r="S349" t="s">
        <v>28</v>
      </c>
      <c r="T349" t="str">
        <f>"19592383"</f>
        <v>19592383</v>
      </c>
      <c r="U349" t="s">
        <v>1365</v>
      </c>
      <c r="V349" t="s">
        <v>1366</v>
      </c>
    </row>
    <row r="350" spans="1:22" x14ac:dyDescent="0.25">
      <c r="A350" t="str">
        <f t="shared" si="44"/>
        <v>10807</v>
      </c>
      <c r="B350" t="s">
        <v>1342</v>
      </c>
      <c r="C350" t="s">
        <v>1343</v>
      </c>
      <c r="D350" t="s">
        <v>1367</v>
      </c>
      <c r="E350" t="s">
        <v>25</v>
      </c>
      <c r="F350" t="s">
        <v>26</v>
      </c>
      <c r="G350" t="str">
        <f t="shared" si="46"/>
        <v>37</v>
      </c>
      <c r="H350" t="str">
        <f>"12"</f>
        <v>12</v>
      </c>
      <c r="I350" t="s">
        <v>1228</v>
      </c>
      <c r="J350">
        <v>49.997</v>
      </c>
      <c r="K350">
        <v>49.997</v>
      </c>
      <c r="L350" t="s">
        <v>28</v>
      </c>
      <c r="M350" t="s">
        <v>1368</v>
      </c>
      <c r="N350">
        <v>1</v>
      </c>
      <c r="O350" t="str">
        <f>"723"</f>
        <v>723</v>
      </c>
      <c r="P350" t="s">
        <v>1369</v>
      </c>
      <c r="Q350" t="s">
        <v>1228</v>
      </c>
      <c r="R350" t="s">
        <v>31</v>
      </c>
      <c r="S350" t="s">
        <v>28</v>
      </c>
      <c r="T350" t="str">
        <f>"94511906"</f>
        <v>94511906</v>
      </c>
      <c r="U350" t="s">
        <v>1347</v>
      </c>
      <c r="V350" t="s">
        <v>1348</v>
      </c>
    </row>
    <row r="351" spans="1:22" x14ac:dyDescent="0.25">
      <c r="A351" t="str">
        <f t="shared" si="44"/>
        <v>10807</v>
      </c>
      <c r="B351" t="s">
        <v>1342</v>
      </c>
      <c r="C351" t="s">
        <v>1343</v>
      </c>
      <c r="D351" t="s">
        <v>1370</v>
      </c>
      <c r="E351" t="s">
        <v>25</v>
      </c>
      <c r="F351" t="s">
        <v>26</v>
      </c>
      <c r="G351" t="str">
        <f t="shared" si="46"/>
        <v>37</v>
      </c>
      <c r="H351" t="str">
        <f>"12"</f>
        <v>12</v>
      </c>
      <c r="I351" t="s">
        <v>1228</v>
      </c>
      <c r="J351">
        <v>27.878</v>
      </c>
      <c r="K351">
        <v>27.878</v>
      </c>
      <c r="L351" t="s">
        <v>28</v>
      </c>
      <c r="M351" t="s">
        <v>1371</v>
      </c>
      <c r="N351">
        <v>1</v>
      </c>
      <c r="O351" t="str">
        <f>"723"</f>
        <v>723</v>
      </c>
      <c r="P351" t="s">
        <v>1369</v>
      </c>
      <c r="Q351" t="s">
        <v>1228</v>
      </c>
      <c r="R351" t="s">
        <v>31</v>
      </c>
      <c r="S351" t="s">
        <v>28</v>
      </c>
      <c r="T351" t="str">
        <f>"42006809"</f>
        <v>42006809</v>
      </c>
      <c r="U351" t="s">
        <v>1372</v>
      </c>
      <c r="V351" t="s">
        <v>1373</v>
      </c>
    </row>
    <row r="352" spans="1:22" x14ac:dyDescent="0.25">
      <c r="A352" t="str">
        <f t="shared" si="44"/>
        <v>10807</v>
      </c>
      <c r="B352" t="s">
        <v>1342</v>
      </c>
      <c r="C352" t="s">
        <v>1343</v>
      </c>
      <c r="D352" t="s">
        <v>1374</v>
      </c>
      <c r="E352" t="s">
        <v>25</v>
      </c>
      <c r="F352" t="s">
        <v>26</v>
      </c>
      <c r="G352" t="str">
        <f t="shared" si="46"/>
        <v>37</v>
      </c>
      <c r="H352" t="str">
        <f>"12"</f>
        <v>12</v>
      </c>
      <c r="I352" t="s">
        <v>1331</v>
      </c>
      <c r="J352">
        <v>200</v>
      </c>
      <c r="K352">
        <v>200</v>
      </c>
      <c r="L352" t="s">
        <v>28</v>
      </c>
      <c r="M352" t="s">
        <v>1375</v>
      </c>
      <c r="N352">
        <v>1</v>
      </c>
      <c r="O352" t="str">
        <f>"723"</f>
        <v>723</v>
      </c>
      <c r="P352" t="s">
        <v>1346</v>
      </c>
      <c r="Q352" t="s">
        <v>1331</v>
      </c>
      <c r="R352" t="s">
        <v>31</v>
      </c>
      <c r="S352" t="s">
        <v>28</v>
      </c>
      <c r="T352" t="str">
        <f>"94511906"</f>
        <v>94511906</v>
      </c>
      <c r="U352" t="s">
        <v>1347</v>
      </c>
      <c r="V352" t="s">
        <v>1348</v>
      </c>
    </row>
    <row r="353" spans="1:22" x14ac:dyDescent="0.25">
      <c r="A353" t="str">
        <f t="shared" si="44"/>
        <v>10807</v>
      </c>
      <c r="B353" t="s">
        <v>1342</v>
      </c>
      <c r="C353" t="s">
        <v>1343</v>
      </c>
      <c r="D353" t="s">
        <v>1376</v>
      </c>
      <c r="E353" t="s">
        <v>25</v>
      </c>
      <c r="F353" t="s">
        <v>26</v>
      </c>
      <c r="G353" t="str">
        <f t="shared" si="46"/>
        <v>37</v>
      </c>
      <c r="H353" t="str">
        <f>"11"</f>
        <v>11</v>
      </c>
      <c r="I353" t="s">
        <v>1331</v>
      </c>
      <c r="J353">
        <v>30</v>
      </c>
      <c r="K353">
        <v>30</v>
      </c>
      <c r="L353" t="s">
        <v>28</v>
      </c>
      <c r="M353" t="s">
        <v>1377</v>
      </c>
      <c r="N353">
        <v>1</v>
      </c>
      <c r="O353" t="str">
        <f>"722"</f>
        <v>722</v>
      </c>
      <c r="P353" t="s">
        <v>1346</v>
      </c>
      <c r="Q353" t="s">
        <v>1331</v>
      </c>
      <c r="R353" t="s">
        <v>31</v>
      </c>
      <c r="S353" t="s">
        <v>28</v>
      </c>
      <c r="T353" t="str">
        <f>"26173821"</f>
        <v>26173821</v>
      </c>
      <c r="U353" t="s">
        <v>1378</v>
      </c>
      <c r="V353" t="s">
        <v>1379</v>
      </c>
    </row>
    <row r="354" spans="1:22" x14ac:dyDescent="0.25">
      <c r="A354" t="str">
        <f t="shared" si="44"/>
        <v>10807</v>
      </c>
      <c r="B354" t="s">
        <v>1342</v>
      </c>
      <c r="C354" t="s">
        <v>1343</v>
      </c>
      <c r="D354" t="s">
        <v>1380</v>
      </c>
      <c r="E354" t="s">
        <v>25</v>
      </c>
      <c r="F354" t="s">
        <v>26</v>
      </c>
      <c r="G354" t="str">
        <f t="shared" si="46"/>
        <v>37</v>
      </c>
      <c r="H354" t="str">
        <f>"11"</f>
        <v>11</v>
      </c>
      <c r="I354" t="s">
        <v>1331</v>
      </c>
      <c r="J354">
        <v>20</v>
      </c>
      <c r="K354">
        <v>20</v>
      </c>
      <c r="L354" t="s">
        <v>28</v>
      </c>
      <c r="M354" t="s">
        <v>1381</v>
      </c>
      <c r="N354">
        <v>1</v>
      </c>
      <c r="O354" t="str">
        <f>"722"</f>
        <v>722</v>
      </c>
      <c r="P354" t="s">
        <v>1346</v>
      </c>
      <c r="Q354" t="s">
        <v>1331</v>
      </c>
      <c r="R354" t="s">
        <v>31</v>
      </c>
      <c r="S354" t="s">
        <v>28</v>
      </c>
      <c r="T354" t="str">
        <f>"17126910"</f>
        <v>17126910</v>
      </c>
      <c r="U354" t="s">
        <v>1382</v>
      </c>
      <c r="V354" t="s">
        <v>1383</v>
      </c>
    </row>
    <row r="355" spans="1:22" x14ac:dyDescent="0.25">
      <c r="A355" t="str">
        <f t="shared" si="44"/>
        <v>10807</v>
      </c>
      <c r="B355" t="s">
        <v>1342</v>
      </c>
      <c r="C355" t="s">
        <v>1343</v>
      </c>
      <c r="D355" t="s">
        <v>1384</v>
      </c>
      <c r="E355" t="s">
        <v>25</v>
      </c>
      <c r="F355" t="s">
        <v>26</v>
      </c>
      <c r="G355" t="str">
        <f t="shared" si="46"/>
        <v>37</v>
      </c>
      <c r="H355" t="str">
        <f>"11"</f>
        <v>11</v>
      </c>
      <c r="I355" t="s">
        <v>1228</v>
      </c>
      <c r="J355">
        <v>40</v>
      </c>
      <c r="K355">
        <v>40</v>
      </c>
      <c r="L355" t="s">
        <v>28</v>
      </c>
      <c r="M355" t="s">
        <v>1385</v>
      </c>
      <c r="N355">
        <v>1</v>
      </c>
      <c r="O355" t="str">
        <f>"722"</f>
        <v>722</v>
      </c>
      <c r="P355" t="s">
        <v>1369</v>
      </c>
      <c r="Q355" t="s">
        <v>1228</v>
      </c>
      <c r="R355" t="s">
        <v>31</v>
      </c>
      <c r="S355" t="s">
        <v>28</v>
      </c>
      <c r="T355" t="str">
        <f>"99504329"</f>
        <v>99504329</v>
      </c>
      <c r="U355" t="s">
        <v>1386</v>
      </c>
      <c r="V355" t="s">
        <v>1387</v>
      </c>
    </row>
    <row r="356" spans="1:22" x14ac:dyDescent="0.25">
      <c r="A356" t="str">
        <f t="shared" si="44"/>
        <v>10807</v>
      </c>
      <c r="B356" t="s">
        <v>1388</v>
      </c>
      <c r="C356" t="s">
        <v>1389</v>
      </c>
      <c r="D356" t="s">
        <v>1390</v>
      </c>
      <c r="E356" t="s">
        <v>1272</v>
      </c>
      <c r="F356" t="s">
        <v>1273</v>
      </c>
      <c r="G356" t="str">
        <f t="shared" si="46"/>
        <v>37</v>
      </c>
      <c r="I356" t="s">
        <v>1027</v>
      </c>
      <c r="J356">
        <v>50</v>
      </c>
      <c r="K356">
        <v>50</v>
      </c>
      <c r="L356" t="s">
        <v>28</v>
      </c>
      <c r="M356" t="s">
        <v>2667</v>
      </c>
      <c r="N356">
        <v>1</v>
      </c>
      <c r="O356" t="str">
        <f>"721"</f>
        <v>721</v>
      </c>
      <c r="P356" t="s">
        <v>1391</v>
      </c>
      <c r="Q356" t="s">
        <v>1392</v>
      </c>
      <c r="R356" t="s">
        <v>31</v>
      </c>
      <c r="S356" t="s">
        <v>294</v>
      </c>
      <c r="U356" t="s">
        <v>1274</v>
      </c>
      <c r="V356" t="s">
        <v>1097</v>
      </c>
    </row>
    <row r="357" spans="1:22" x14ac:dyDescent="0.25">
      <c r="A357" t="str">
        <f t="shared" si="44"/>
        <v>10807</v>
      </c>
      <c r="B357" t="s">
        <v>1393</v>
      </c>
      <c r="C357" t="s">
        <v>1394</v>
      </c>
      <c r="D357" t="s">
        <v>1395</v>
      </c>
      <c r="E357" t="s">
        <v>25</v>
      </c>
      <c r="F357" t="s">
        <v>26</v>
      </c>
      <c r="G357" t="str">
        <f t="shared" ref="G357:G388" si="49">"37"</f>
        <v>37</v>
      </c>
      <c r="H357" t="str">
        <f t="shared" ref="H357:H388" si="50">"11"</f>
        <v>11</v>
      </c>
      <c r="I357" t="s">
        <v>1228</v>
      </c>
      <c r="J357">
        <v>20</v>
      </c>
      <c r="K357">
        <v>20</v>
      </c>
      <c r="L357" t="s">
        <v>28</v>
      </c>
      <c r="M357" t="s">
        <v>1396</v>
      </c>
      <c r="N357">
        <v>1</v>
      </c>
      <c r="O357" t="str">
        <f t="shared" ref="O357:O365" si="51">"722"</f>
        <v>722</v>
      </c>
      <c r="P357" t="s">
        <v>1397</v>
      </c>
      <c r="Q357" t="s">
        <v>1398</v>
      </c>
      <c r="R357" t="s">
        <v>31</v>
      </c>
      <c r="S357" t="s">
        <v>294</v>
      </c>
      <c r="T357" t="str">
        <f>"95855028"</f>
        <v>95855028</v>
      </c>
      <c r="U357" t="s">
        <v>1399</v>
      </c>
      <c r="V357" t="s">
        <v>1400</v>
      </c>
    </row>
    <row r="358" spans="1:22" x14ac:dyDescent="0.25">
      <c r="A358" t="str">
        <f t="shared" si="44"/>
        <v>10807</v>
      </c>
      <c r="B358" t="s">
        <v>1393</v>
      </c>
      <c r="C358" t="s">
        <v>1394</v>
      </c>
      <c r="D358" t="s">
        <v>1401</v>
      </c>
      <c r="E358" t="s">
        <v>25</v>
      </c>
      <c r="F358" t="s">
        <v>26</v>
      </c>
      <c r="G358" t="str">
        <f t="shared" si="49"/>
        <v>37</v>
      </c>
      <c r="H358" t="str">
        <f t="shared" si="50"/>
        <v>11</v>
      </c>
      <c r="I358" t="s">
        <v>1402</v>
      </c>
      <c r="J358">
        <v>20</v>
      </c>
      <c r="K358">
        <v>20</v>
      </c>
      <c r="L358" t="s">
        <v>28</v>
      </c>
      <c r="M358" t="s">
        <v>1403</v>
      </c>
      <c r="N358">
        <v>1</v>
      </c>
      <c r="O358" t="str">
        <f t="shared" si="51"/>
        <v>722</v>
      </c>
      <c r="P358" t="s">
        <v>1404</v>
      </c>
      <c r="Q358" t="s">
        <v>1405</v>
      </c>
      <c r="R358" t="s">
        <v>31</v>
      </c>
      <c r="S358" t="s">
        <v>294</v>
      </c>
      <c r="T358" t="str">
        <f>"45353470"</f>
        <v>45353470</v>
      </c>
      <c r="U358" t="s">
        <v>1406</v>
      </c>
      <c r="V358" t="s">
        <v>1407</v>
      </c>
    </row>
    <row r="359" spans="1:22" x14ac:dyDescent="0.25">
      <c r="A359" t="str">
        <f t="shared" si="44"/>
        <v>10807</v>
      </c>
      <c r="B359" t="s">
        <v>1408</v>
      </c>
      <c r="C359" t="s">
        <v>1409</v>
      </c>
      <c r="D359" t="s">
        <v>1410</v>
      </c>
      <c r="E359" t="s">
        <v>25</v>
      </c>
      <c r="F359" t="s">
        <v>26</v>
      </c>
      <c r="G359" t="str">
        <f t="shared" si="49"/>
        <v>37</v>
      </c>
      <c r="H359" t="str">
        <f t="shared" si="50"/>
        <v>11</v>
      </c>
      <c r="I359" t="s">
        <v>1331</v>
      </c>
      <c r="J359">
        <v>10</v>
      </c>
      <c r="K359">
        <v>10</v>
      </c>
      <c r="L359" t="s">
        <v>28</v>
      </c>
      <c r="M359" t="s">
        <v>1412</v>
      </c>
      <c r="N359">
        <v>1</v>
      </c>
      <c r="O359" t="str">
        <f t="shared" si="51"/>
        <v>722</v>
      </c>
      <c r="P359" t="s">
        <v>1413</v>
      </c>
      <c r="Q359" t="s">
        <v>1331</v>
      </c>
      <c r="R359" t="s">
        <v>31</v>
      </c>
      <c r="S359" t="s">
        <v>28</v>
      </c>
      <c r="T359" t="str">
        <f>"17712572"</f>
        <v>17712572</v>
      </c>
      <c r="U359" t="s">
        <v>1414</v>
      </c>
      <c r="V359" t="s">
        <v>1415</v>
      </c>
    </row>
    <row r="360" spans="1:22" x14ac:dyDescent="0.25">
      <c r="A360" t="str">
        <f t="shared" si="44"/>
        <v>10807</v>
      </c>
      <c r="B360" t="s">
        <v>1416</v>
      </c>
      <c r="C360" t="s">
        <v>1409</v>
      </c>
      <c r="D360" t="s">
        <v>1417</v>
      </c>
      <c r="E360" t="s">
        <v>25</v>
      </c>
      <c r="F360" t="s">
        <v>26</v>
      </c>
      <c r="G360" t="str">
        <f t="shared" si="49"/>
        <v>37</v>
      </c>
      <c r="H360" t="str">
        <f t="shared" si="50"/>
        <v>11</v>
      </c>
      <c r="I360" t="s">
        <v>1331</v>
      </c>
      <c r="J360">
        <v>150</v>
      </c>
      <c r="K360">
        <v>150</v>
      </c>
      <c r="L360" t="s">
        <v>28</v>
      </c>
      <c r="M360" t="s">
        <v>1419</v>
      </c>
      <c r="N360">
        <v>1</v>
      </c>
      <c r="O360" t="str">
        <f t="shared" si="51"/>
        <v>722</v>
      </c>
      <c r="P360" t="s">
        <v>1413</v>
      </c>
      <c r="Q360" t="s">
        <v>1331</v>
      </c>
      <c r="R360" t="s">
        <v>31</v>
      </c>
      <c r="S360" t="s">
        <v>28</v>
      </c>
      <c r="T360" t="str">
        <f>"29306199"</f>
        <v>29306199</v>
      </c>
      <c r="U360" t="s">
        <v>1420</v>
      </c>
      <c r="V360" t="s">
        <v>1421</v>
      </c>
    </row>
    <row r="361" spans="1:22" x14ac:dyDescent="0.25">
      <c r="A361" t="str">
        <f t="shared" si="44"/>
        <v>10807</v>
      </c>
      <c r="B361" t="s">
        <v>1408</v>
      </c>
      <c r="C361" t="s">
        <v>1409</v>
      </c>
      <c r="D361" t="s">
        <v>1422</v>
      </c>
      <c r="E361" t="s">
        <v>25</v>
      </c>
      <c r="F361" t="s">
        <v>26</v>
      </c>
      <c r="G361" t="str">
        <f t="shared" si="49"/>
        <v>37</v>
      </c>
      <c r="H361" t="str">
        <f t="shared" si="50"/>
        <v>11</v>
      </c>
      <c r="I361" t="s">
        <v>1331</v>
      </c>
      <c r="J361">
        <v>45</v>
      </c>
      <c r="K361">
        <v>45</v>
      </c>
      <c r="L361" t="s">
        <v>28</v>
      </c>
      <c r="M361" t="s">
        <v>1424</v>
      </c>
      <c r="N361">
        <v>1</v>
      </c>
      <c r="O361" t="str">
        <f t="shared" si="51"/>
        <v>722</v>
      </c>
      <c r="P361" t="s">
        <v>1413</v>
      </c>
      <c r="Q361" t="s">
        <v>1331</v>
      </c>
      <c r="R361" t="s">
        <v>31</v>
      </c>
      <c r="S361" t="s">
        <v>28</v>
      </c>
      <c r="T361" t="str">
        <f>"45253866"</f>
        <v>45253866</v>
      </c>
      <c r="U361" t="s">
        <v>1425</v>
      </c>
      <c r="V361" t="s">
        <v>1426</v>
      </c>
    </row>
    <row r="362" spans="1:22" x14ac:dyDescent="0.25">
      <c r="A362" t="str">
        <f t="shared" si="44"/>
        <v>10807</v>
      </c>
      <c r="B362" t="s">
        <v>1427</v>
      </c>
      <c r="C362" t="s">
        <v>1409</v>
      </c>
      <c r="D362" t="s">
        <v>1428</v>
      </c>
      <c r="E362" t="s">
        <v>25</v>
      </c>
      <c r="F362" t="s">
        <v>26</v>
      </c>
      <c r="G362" t="str">
        <f t="shared" si="49"/>
        <v>37</v>
      </c>
      <c r="H362" t="str">
        <f t="shared" si="50"/>
        <v>11</v>
      </c>
      <c r="I362" t="s">
        <v>27</v>
      </c>
      <c r="J362">
        <v>20</v>
      </c>
      <c r="K362">
        <v>20</v>
      </c>
      <c r="L362" t="s">
        <v>28</v>
      </c>
      <c r="M362" t="s">
        <v>1430</v>
      </c>
      <c r="N362">
        <v>1</v>
      </c>
      <c r="O362" t="str">
        <f t="shared" si="51"/>
        <v>722</v>
      </c>
      <c r="P362" t="s">
        <v>30</v>
      </c>
      <c r="Q362" t="s">
        <v>27</v>
      </c>
      <c r="R362" t="s">
        <v>31</v>
      </c>
      <c r="S362" t="s">
        <v>28</v>
      </c>
      <c r="T362" t="str">
        <f>"09326788"</f>
        <v>09326788</v>
      </c>
      <c r="U362" t="s">
        <v>1431</v>
      </c>
      <c r="V362" t="s">
        <v>1432</v>
      </c>
    </row>
    <row r="363" spans="1:22" x14ac:dyDescent="0.25">
      <c r="A363" t="str">
        <f t="shared" si="44"/>
        <v>10807</v>
      </c>
      <c r="B363" t="s">
        <v>1408</v>
      </c>
      <c r="C363" t="s">
        <v>1409</v>
      </c>
      <c r="D363" t="s">
        <v>1433</v>
      </c>
      <c r="E363" t="s">
        <v>25</v>
      </c>
      <c r="F363" t="s">
        <v>26</v>
      </c>
      <c r="G363" t="str">
        <f t="shared" si="49"/>
        <v>37</v>
      </c>
      <c r="H363" t="str">
        <f t="shared" si="50"/>
        <v>11</v>
      </c>
      <c r="I363" t="s">
        <v>1331</v>
      </c>
      <c r="J363">
        <v>30</v>
      </c>
      <c r="K363">
        <v>30</v>
      </c>
      <c r="L363" t="s">
        <v>28</v>
      </c>
      <c r="M363" t="s">
        <v>1435</v>
      </c>
      <c r="N363">
        <v>1</v>
      </c>
      <c r="O363" t="str">
        <f t="shared" si="51"/>
        <v>722</v>
      </c>
      <c r="P363" t="s">
        <v>1413</v>
      </c>
      <c r="Q363" t="s">
        <v>1331</v>
      </c>
      <c r="R363" t="s">
        <v>31</v>
      </c>
      <c r="S363" t="s">
        <v>28</v>
      </c>
      <c r="T363" t="str">
        <f>"19276983"</f>
        <v>19276983</v>
      </c>
      <c r="U363" t="s">
        <v>1436</v>
      </c>
      <c r="V363" t="s">
        <v>1437</v>
      </c>
    </row>
    <row r="364" spans="1:22" x14ac:dyDescent="0.25">
      <c r="A364" t="str">
        <f t="shared" si="44"/>
        <v>10807</v>
      </c>
      <c r="B364" t="s">
        <v>1427</v>
      </c>
      <c r="C364" t="s">
        <v>1409</v>
      </c>
      <c r="D364" t="s">
        <v>1438</v>
      </c>
      <c r="E364" t="s">
        <v>25</v>
      </c>
      <c r="F364" t="s">
        <v>26</v>
      </c>
      <c r="G364" t="str">
        <f t="shared" si="49"/>
        <v>37</v>
      </c>
      <c r="H364" t="str">
        <f t="shared" si="50"/>
        <v>11</v>
      </c>
      <c r="I364" t="s">
        <v>27</v>
      </c>
      <c r="J364">
        <v>50</v>
      </c>
      <c r="K364">
        <v>50</v>
      </c>
      <c r="L364" t="s">
        <v>28</v>
      </c>
      <c r="M364" t="s">
        <v>1440</v>
      </c>
      <c r="N364">
        <v>1</v>
      </c>
      <c r="O364" t="str">
        <f t="shared" si="51"/>
        <v>722</v>
      </c>
      <c r="P364" t="s">
        <v>30</v>
      </c>
      <c r="Q364" t="s">
        <v>27</v>
      </c>
      <c r="R364" t="s">
        <v>31</v>
      </c>
      <c r="S364" t="s">
        <v>28</v>
      </c>
      <c r="T364" t="str">
        <f>"45629152"</f>
        <v>45629152</v>
      </c>
      <c r="U364" t="s">
        <v>1441</v>
      </c>
      <c r="V364" t="s">
        <v>1442</v>
      </c>
    </row>
    <row r="365" spans="1:22" x14ac:dyDescent="0.25">
      <c r="A365" t="str">
        <f t="shared" si="44"/>
        <v>10807</v>
      </c>
      <c r="B365" t="s">
        <v>1408</v>
      </c>
      <c r="C365" t="s">
        <v>1409</v>
      </c>
      <c r="D365" t="s">
        <v>1443</v>
      </c>
      <c r="E365" t="s">
        <v>25</v>
      </c>
      <c r="F365" t="s">
        <v>26</v>
      </c>
      <c r="G365" t="str">
        <f t="shared" si="49"/>
        <v>37</v>
      </c>
      <c r="H365" t="str">
        <f t="shared" si="50"/>
        <v>11</v>
      </c>
      <c r="I365" t="s">
        <v>1331</v>
      </c>
      <c r="J365">
        <v>30</v>
      </c>
      <c r="K365">
        <v>30</v>
      </c>
      <c r="L365" t="s">
        <v>28</v>
      </c>
      <c r="M365" t="s">
        <v>1445</v>
      </c>
      <c r="N365">
        <v>1</v>
      </c>
      <c r="O365" t="str">
        <f t="shared" si="51"/>
        <v>722</v>
      </c>
      <c r="P365" t="s">
        <v>1413</v>
      </c>
      <c r="Q365" t="s">
        <v>1331</v>
      </c>
      <c r="R365" t="s">
        <v>31</v>
      </c>
      <c r="S365" t="s">
        <v>28</v>
      </c>
      <c r="T365" t="str">
        <f>"19279145"</f>
        <v>19279145</v>
      </c>
      <c r="U365" t="s">
        <v>1446</v>
      </c>
      <c r="V365" t="s">
        <v>1447</v>
      </c>
    </row>
    <row r="366" spans="1:22" x14ac:dyDescent="0.25">
      <c r="A366" t="str">
        <f t="shared" si="44"/>
        <v>10807</v>
      </c>
      <c r="B366" t="s">
        <v>1408</v>
      </c>
      <c r="C366" t="s">
        <v>1409</v>
      </c>
      <c r="D366" t="s">
        <v>1448</v>
      </c>
      <c r="E366" t="s">
        <v>25</v>
      </c>
      <c r="F366" t="s">
        <v>26</v>
      </c>
      <c r="G366" t="str">
        <f t="shared" si="49"/>
        <v>37</v>
      </c>
      <c r="H366" t="str">
        <f t="shared" si="50"/>
        <v>11</v>
      </c>
      <c r="I366" t="s">
        <v>1331</v>
      </c>
      <c r="J366">
        <v>50</v>
      </c>
      <c r="K366">
        <v>50</v>
      </c>
      <c r="L366" t="s">
        <v>28</v>
      </c>
      <c r="M366" t="s">
        <v>1449</v>
      </c>
      <c r="N366">
        <v>1</v>
      </c>
      <c r="O366" t="str">
        <f>"723"</f>
        <v>723</v>
      </c>
      <c r="P366" t="s">
        <v>1413</v>
      </c>
      <c r="Q366" t="s">
        <v>1331</v>
      </c>
      <c r="R366" t="s">
        <v>31</v>
      </c>
      <c r="S366" t="s">
        <v>28</v>
      </c>
      <c r="T366" t="str">
        <f>"56505903"</f>
        <v>56505903</v>
      </c>
      <c r="U366" t="s">
        <v>1450</v>
      </c>
      <c r="V366" t="s">
        <v>1451</v>
      </c>
    </row>
    <row r="367" spans="1:22" x14ac:dyDescent="0.25">
      <c r="A367" t="str">
        <f t="shared" si="44"/>
        <v>10807</v>
      </c>
      <c r="B367" t="s">
        <v>1427</v>
      </c>
      <c r="C367" t="s">
        <v>1409</v>
      </c>
      <c r="D367" t="s">
        <v>1452</v>
      </c>
      <c r="E367" t="s">
        <v>25</v>
      </c>
      <c r="F367" t="s">
        <v>26</v>
      </c>
      <c r="G367" t="str">
        <f t="shared" si="49"/>
        <v>37</v>
      </c>
      <c r="H367" t="str">
        <f t="shared" si="50"/>
        <v>11</v>
      </c>
      <c r="I367" t="s">
        <v>1331</v>
      </c>
      <c r="J367">
        <v>73.611999999999995</v>
      </c>
      <c r="K367">
        <v>73.611999999999995</v>
      </c>
      <c r="L367" t="s">
        <v>28</v>
      </c>
      <c r="M367" t="s">
        <v>1453</v>
      </c>
      <c r="N367">
        <v>1</v>
      </c>
      <c r="O367" t="str">
        <f>"723"</f>
        <v>723</v>
      </c>
      <c r="P367" t="s">
        <v>1454</v>
      </c>
      <c r="Q367" t="s">
        <v>1455</v>
      </c>
      <c r="R367" t="s">
        <v>31</v>
      </c>
      <c r="S367" t="s">
        <v>294</v>
      </c>
      <c r="T367" t="str">
        <f>"57301809"</f>
        <v>57301809</v>
      </c>
      <c r="U367" t="s">
        <v>1456</v>
      </c>
      <c r="V367" t="s">
        <v>1457</v>
      </c>
    </row>
    <row r="368" spans="1:22" x14ac:dyDescent="0.25">
      <c r="A368" t="str">
        <f t="shared" si="44"/>
        <v>10807</v>
      </c>
      <c r="B368" t="s">
        <v>1427</v>
      </c>
      <c r="C368" t="s">
        <v>1409</v>
      </c>
      <c r="D368" t="s">
        <v>1458</v>
      </c>
      <c r="E368" t="s">
        <v>25</v>
      </c>
      <c r="F368" t="s">
        <v>26</v>
      </c>
      <c r="G368" t="str">
        <f t="shared" si="49"/>
        <v>37</v>
      </c>
      <c r="H368" t="str">
        <f t="shared" si="50"/>
        <v>11</v>
      </c>
      <c r="I368" t="s">
        <v>1460</v>
      </c>
      <c r="J368">
        <v>50</v>
      </c>
      <c r="K368">
        <v>50</v>
      </c>
      <c r="L368" t="s">
        <v>28</v>
      </c>
      <c r="M368" t="s">
        <v>1461</v>
      </c>
      <c r="N368">
        <v>1</v>
      </c>
      <c r="O368" t="str">
        <f t="shared" ref="O368:O376" si="52">"722"</f>
        <v>722</v>
      </c>
      <c r="P368" t="s">
        <v>1462</v>
      </c>
      <c r="Q368" t="s">
        <v>1460</v>
      </c>
      <c r="R368" t="s">
        <v>31</v>
      </c>
      <c r="S368" t="s">
        <v>28</v>
      </c>
      <c r="T368" t="str">
        <f>"19276344"</f>
        <v>19276344</v>
      </c>
      <c r="U368" t="s">
        <v>1463</v>
      </c>
      <c r="V368" t="s">
        <v>1464</v>
      </c>
    </row>
    <row r="369" spans="1:22" x14ac:dyDescent="0.25">
      <c r="A369" t="str">
        <f t="shared" si="44"/>
        <v>10807</v>
      </c>
      <c r="B369" t="s">
        <v>1408</v>
      </c>
      <c r="C369" t="s">
        <v>1409</v>
      </c>
      <c r="D369" t="s">
        <v>1465</v>
      </c>
      <c r="E369" t="s">
        <v>25</v>
      </c>
      <c r="F369" t="s">
        <v>26</v>
      </c>
      <c r="G369" t="str">
        <f t="shared" si="49"/>
        <v>37</v>
      </c>
      <c r="H369" t="str">
        <f t="shared" si="50"/>
        <v>11</v>
      </c>
      <c r="I369" t="s">
        <v>1460</v>
      </c>
      <c r="J369">
        <v>10</v>
      </c>
      <c r="K369">
        <v>10</v>
      </c>
      <c r="L369" t="s">
        <v>28</v>
      </c>
      <c r="M369" t="s">
        <v>1467</v>
      </c>
      <c r="N369">
        <v>1</v>
      </c>
      <c r="O369" t="str">
        <f t="shared" si="52"/>
        <v>722</v>
      </c>
      <c r="P369" t="s">
        <v>1462</v>
      </c>
      <c r="Q369" t="s">
        <v>1460</v>
      </c>
      <c r="R369" t="s">
        <v>31</v>
      </c>
      <c r="S369" t="s">
        <v>28</v>
      </c>
      <c r="T369" t="str">
        <f>"10968373"</f>
        <v>10968373</v>
      </c>
      <c r="U369" t="s">
        <v>1468</v>
      </c>
      <c r="V369" t="s">
        <v>1469</v>
      </c>
    </row>
    <row r="370" spans="1:22" x14ac:dyDescent="0.25">
      <c r="A370" t="str">
        <f t="shared" si="44"/>
        <v>10807</v>
      </c>
      <c r="B370" t="s">
        <v>1408</v>
      </c>
      <c r="C370" t="s">
        <v>1409</v>
      </c>
      <c r="D370" t="s">
        <v>1470</v>
      </c>
      <c r="E370" t="s">
        <v>25</v>
      </c>
      <c r="F370" t="s">
        <v>26</v>
      </c>
      <c r="G370" t="str">
        <f t="shared" si="49"/>
        <v>37</v>
      </c>
      <c r="H370" t="str">
        <f t="shared" si="50"/>
        <v>11</v>
      </c>
      <c r="I370" t="s">
        <v>1331</v>
      </c>
      <c r="J370">
        <v>15</v>
      </c>
      <c r="K370">
        <v>15</v>
      </c>
      <c r="L370" t="s">
        <v>28</v>
      </c>
      <c r="M370" t="s">
        <v>1472</v>
      </c>
      <c r="N370">
        <v>1</v>
      </c>
      <c r="O370" t="str">
        <f t="shared" si="52"/>
        <v>722</v>
      </c>
      <c r="P370" t="s">
        <v>1413</v>
      </c>
      <c r="Q370" t="s">
        <v>1331</v>
      </c>
      <c r="R370" t="s">
        <v>31</v>
      </c>
      <c r="S370" t="s">
        <v>28</v>
      </c>
      <c r="T370" t="str">
        <f>"17724394"</f>
        <v>17724394</v>
      </c>
      <c r="U370" t="s">
        <v>1473</v>
      </c>
      <c r="V370" t="s">
        <v>1474</v>
      </c>
    </row>
    <row r="371" spans="1:22" x14ac:dyDescent="0.25">
      <c r="A371" t="str">
        <f t="shared" si="44"/>
        <v>10807</v>
      </c>
      <c r="B371" t="s">
        <v>1408</v>
      </c>
      <c r="C371" t="s">
        <v>1409</v>
      </c>
      <c r="D371" t="s">
        <v>1475</v>
      </c>
      <c r="E371" t="s">
        <v>25</v>
      </c>
      <c r="F371" t="s">
        <v>26</v>
      </c>
      <c r="G371" t="str">
        <f t="shared" si="49"/>
        <v>37</v>
      </c>
      <c r="H371" t="str">
        <f t="shared" si="50"/>
        <v>11</v>
      </c>
      <c r="I371" t="s">
        <v>1331</v>
      </c>
      <c r="J371">
        <v>20</v>
      </c>
      <c r="K371">
        <v>20</v>
      </c>
      <c r="L371" t="s">
        <v>28</v>
      </c>
      <c r="M371" t="s">
        <v>1477</v>
      </c>
      <c r="N371">
        <v>1</v>
      </c>
      <c r="O371" t="str">
        <f t="shared" si="52"/>
        <v>722</v>
      </c>
      <c r="P371" t="s">
        <v>1413</v>
      </c>
      <c r="Q371" t="s">
        <v>1331</v>
      </c>
      <c r="R371" t="s">
        <v>31</v>
      </c>
      <c r="S371" t="s">
        <v>28</v>
      </c>
      <c r="T371" t="str">
        <f>"99659688"</f>
        <v>99659688</v>
      </c>
      <c r="U371" t="s">
        <v>1478</v>
      </c>
      <c r="V371" t="s">
        <v>1479</v>
      </c>
    </row>
    <row r="372" spans="1:22" x14ac:dyDescent="0.25">
      <c r="A372" t="str">
        <f t="shared" si="44"/>
        <v>10807</v>
      </c>
      <c r="B372" t="s">
        <v>1408</v>
      </c>
      <c r="C372" t="s">
        <v>1409</v>
      </c>
      <c r="D372" t="s">
        <v>1480</v>
      </c>
      <c r="E372" t="s">
        <v>25</v>
      </c>
      <c r="F372" t="s">
        <v>26</v>
      </c>
      <c r="G372" t="str">
        <f t="shared" si="49"/>
        <v>37</v>
      </c>
      <c r="H372" t="str">
        <f t="shared" si="50"/>
        <v>11</v>
      </c>
      <c r="I372" t="s">
        <v>1460</v>
      </c>
      <c r="J372">
        <v>20</v>
      </c>
      <c r="K372">
        <v>20</v>
      </c>
      <c r="L372" t="s">
        <v>28</v>
      </c>
      <c r="M372" t="s">
        <v>1481</v>
      </c>
      <c r="N372">
        <v>1</v>
      </c>
      <c r="O372" t="str">
        <f t="shared" si="52"/>
        <v>722</v>
      </c>
      <c r="P372" t="s">
        <v>1462</v>
      </c>
      <c r="Q372" t="s">
        <v>1460</v>
      </c>
      <c r="R372" t="s">
        <v>31</v>
      </c>
      <c r="S372" t="s">
        <v>28</v>
      </c>
      <c r="T372" t="str">
        <f>"19276983"</f>
        <v>19276983</v>
      </c>
      <c r="U372" t="s">
        <v>1436</v>
      </c>
      <c r="V372" t="s">
        <v>1437</v>
      </c>
    </row>
    <row r="373" spans="1:22" x14ac:dyDescent="0.25">
      <c r="A373" t="str">
        <f t="shared" si="44"/>
        <v>10807</v>
      </c>
      <c r="B373" t="s">
        <v>1427</v>
      </c>
      <c r="C373" t="s">
        <v>1409</v>
      </c>
      <c r="D373" t="s">
        <v>1482</v>
      </c>
      <c r="E373" t="s">
        <v>25</v>
      </c>
      <c r="F373" t="s">
        <v>26</v>
      </c>
      <c r="G373" t="str">
        <f t="shared" si="49"/>
        <v>37</v>
      </c>
      <c r="H373" t="str">
        <f t="shared" si="50"/>
        <v>11</v>
      </c>
      <c r="I373" t="s">
        <v>37</v>
      </c>
      <c r="J373">
        <v>40</v>
      </c>
      <c r="K373">
        <v>40</v>
      </c>
      <c r="L373" t="s">
        <v>28</v>
      </c>
      <c r="M373" t="s">
        <v>1484</v>
      </c>
      <c r="N373">
        <v>1</v>
      </c>
      <c r="O373" t="str">
        <f t="shared" si="52"/>
        <v>722</v>
      </c>
      <c r="P373" t="s">
        <v>39</v>
      </c>
      <c r="Q373" t="s">
        <v>37</v>
      </c>
      <c r="R373" t="s">
        <v>31</v>
      </c>
      <c r="S373" t="s">
        <v>28</v>
      </c>
      <c r="T373" t="str">
        <f>"19270854"</f>
        <v>19270854</v>
      </c>
      <c r="U373" t="s">
        <v>1485</v>
      </c>
      <c r="V373" t="s">
        <v>1486</v>
      </c>
    </row>
    <row r="374" spans="1:22" x14ac:dyDescent="0.25">
      <c r="A374" t="str">
        <f t="shared" si="44"/>
        <v>10807</v>
      </c>
      <c r="B374" t="s">
        <v>1427</v>
      </c>
      <c r="C374" t="s">
        <v>1409</v>
      </c>
      <c r="D374" t="s">
        <v>1487</v>
      </c>
      <c r="E374" t="s">
        <v>25</v>
      </c>
      <c r="F374" t="s">
        <v>26</v>
      </c>
      <c r="G374" t="str">
        <f t="shared" si="49"/>
        <v>37</v>
      </c>
      <c r="H374" t="str">
        <f t="shared" si="50"/>
        <v>11</v>
      </c>
      <c r="I374" t="s">
        <v>1460</v>
      </c>
      <c r="J374">
        <v>50</v>
      </c>
      <c r="K374">
        <v>50</v>
      </c>
      <c r="L374" t="s">
        <v>28</v>
      </c>
      <c r="M374" t="s">
        <v>1489</v>
      </c>
      <c r="N374">
        <v>1</v>
      </c>
      <c r="O374" t="str">
        <f t="shared" si="52"/>
        <v>722</v>
      </c>
      <c r="P374" t="s">
        <v>1462</v>
      </c>
      <c r="Q374" t="s">
        <v>1460</v>
      </c>
      <c r="R374" t="s">
        <v>31</v>
      </c>
      <c r="S374" t="s">
        <v>28</v>
      </c>
      <c r="T374" t="str">
        <f>"99671070"</f>
        <v>99671070</v>
      </c>
      <c r="U374" t="s">
        <v>1490</v>
      </c>
      <c r="V374" t="s">
        <v>1491</v>
      </c>
    </row>
    <row r="375" spans="1:22" x14ac:dyDescent="0.25">
      <c r="A375" t="str">
        <f t="shared" si="44"/>
        <v>10807</v>
      </c>
      <c r="B375" t="s">
        <v>1416</v>
      </c>
      <c r="C375" t="s">
        <v>1409</v>
      </c>
      <c r="D375" t="s">
        <v>1492</v>
      </c>
      <c r="E375" t="s">
        <v>25</v>
      </c>
      <c r="F375" t="s">
        <v>26</v>
      </c>
      <c r="G375" t="str">
        <f t="shared" si="49"/>
        <v>37</v>
      </c>
      <c r="H375" t="str">
        <f t="shared" si="50"/>
        <v>11</v>
      </c>
      <c r="I375" t="s">
        <v>27</v>
      </c>
      <c r="J375">
        <v>70</v>
      </c>
      <c r="K375">
        <v>70</v>
      </c>
      <c r="L375" t="s">
        <v>28</v>
      </c>
      <c r="M375" t="s">
        <v>1494</v>
      </c>
      <c r="N375">
        <v>1</v>
      </c>
      <c r="O375" t="str">
        <f t="shared" si="52"/>
        <v>722</v>
      </c>
      <c r="P375" t="s">
        <v>30</v>
      </c>
      <c r="Q375" t="s">
        <v>27</v>
      </c>
      <c r="R375" t="s">
        <v>31</v>
      </c>
      <c r="S375" t="s">
        <v>28</v>
      </c>
      <c r="T375" t="str">
        <f>"21555173"</f>
        <v>21555173</v>
      </c>
      <c r="U375" t="s">
        <v>1495</v>
      </c>
      <c r="V375" t="s">
        <v>1496</v>
      </c>
    </row>
    <row r="376" spans="1:22" x14ac:dyDescent="0.25">
      <c r="A376" t="str">
        <f t="shared" si="44"/>
        <v>10807</v>
      </c>
      <c r="B376" t="s">
        <v>1427</v>
      </c>
      <c r="C376" t="s">
        <v>1409</v>
      </c>
      <c r="D376" t="s">
        <v>1497</v>
      </c>
      <c r="E376" t="s">
        <v>25</v>
      </c>
      <c r="F376" t="s">
        <v>26</v>
      </c>
      <c r="G376" t="str">
        <f t="shared" si="49"/>
        <v>37</v>
      </c>
      <c r="H376" t="str">
        <f t="shared" si="50"/>
        <v>11</v>
      </c>
      <c r="I376" t="s">
        <v>37</v>
      </c>
      <c r="J376">
        <v>50</v>
      </c>
      <c r="K376">
        <v>50</v>
      </c>
      <c r="L376" t="s">
        <v>28</v>
      </c>
      <c r="M376" t="s">
        <v>1498</v>
      </c>
      <c r="N376">
        <v>1</v>
      </c>
      <c r="O376" t="str">
        <f t="shared" si="52"/>
        <v>722</v>
      </c>
      <c r="P376" t="s">
        <v>39</v>
      </c>
      <c r="Q376" t="s">
        <v>37</v>
      </c>
      <c r="R376" t="s">
        <v>31</v>
      </c>
      <c r="S376" t="s">
        <v>28</v>
      </c>
      <c r="T376" t="str">
        <f>"72565060"</f>
        <v>72565060</v>
      </c>
      <c r="U376" t="s">
        <v>1499</v>
      </c>
      <c r="V376" t="s">
        <v>1500</v>
      </c>
    </row>
    <row r="377" spans="1:22" x14ac:dyDescent="0.25">
      <c r="A377" t="str">
        <f t="shared" si="44"/>
        <v>10807</v>
      </c>
      <c r="B377" t="s">
        <v>1416</v>
      </c>
      <c r="C377" t="s">
        <v>1409</v>
      </c>
      <c r="D377" t="s">
        <v>1501</v>
      </c>
      <c r="E377" t="s">
        <v>25</v>
      </c>
      <c r="F377" t="s">
        <v>26</v>
      </c>
      <c r="G377" t="str">
        <f t="shared" si="49"/>
        <v>37</v>
      </c>
      <c r="H377" t="str">
        <f t="shared" si="50"/>
        <v>11</v>
      </c>
      <c r="I377" t="s">
        <v>1027</v>
      </c>
      <c r="J377">
        <v>50</v>
      </c>
      <c r="K377">
        <v>50</v>
      </c>
      <c r="L377" t="s">
        <v>28</v>
      </c>
      <c r="M377" t="s">
        <v>1502</v>
      </c>
      <c r="N377">
        <v>1</v>
      </c>
      <c r="O377" t="str">
        <f>"721"</f>
        <v>721</v>
      </c>
      <c r="P377" t="s">
        <v>1029</v>
      </c>
      <c r="Q377" t="s">
        <v>1027</v>
      </c>
      <c r="R377" t="s">
        <v>31</v>
      </c>
      <c r="S377" t="s">
        <v>28</v>
      </c>
      <c r="T377" t="s">
        <v>1503</v>
      </c>
      <c r="U377" t="s">
        <v>1504</v>
      </c>
      <c r="V377" t="s">
        <v>1505</v>
      </c>
    </row>
    <row r="378" spans="1:22" x14ac:dyDescent="0.25">
      <c r="A378" t="str">
        <f t="shared" si="44"/>
        <v>10807</v>
      </c>
      <c r="B378" t="s">
        <v>1416</v>
      </c>
      <c r="C378" t="s">
        <v>1409</v>
      </c>
      <c r="D378" t="s">
        <v>1506</v>
      </c>
      <c r="E378" t="s">
        <v>25</v>
      </c>
      <c r="F378" t="s">
        <v>26</v>
      </c>
      <c r="G378" t="str">
        <f t="shared" si="49"/>
        <v>37</v>
      </c>
      <c r="H378" t="str">
        <f t="shared" si="50"/>
        <v>11</v>
      </c>
      <c r="I378" t="s">
        <v>1027</v>
      </c>
      <c r="J378">
        <v>40</v>
      </c>
      <c r="K378">
        <v>40</v>
      </c>
      <c r="L378" t="s">
        <v>28</v>
      </c>
      <c r="M378" t="s">
        <v>1507</v>
      </c>
      <c r="N378">
        <v>1</v>
      </c>
      <c r="O378" t="str">
        <f>"721"</f>
        <v>721</v>
      </c>
      <c r="P378" t="s">
        <v>1029</v>
      </c>
      <c r="Q378" t="s">
        <v>1027</v>
      </c>
      <c r="R378" t="s">
        <v>31</v>
      </c>
      <c r="S378" t="s">
        <v>28</v>
      </c>
      <c r="T378" t="s">
        <v>1508</v>
      </c>
      <c r="U378" t="s">
        <v>1509</v>
      </c>
      <c r="V378" t="s">
        <v>1510</v>
      </c>
    </row>
    <row r="379" spans="1:22" x14ac:dyDescent="0.25">
      <c r="A379" t="str">
        <f t="shared" si="44"/>
        <v>10807</v>
      </c>
      <c r="B379" t="s">
        <v>1408</v>
      </c>
      <c r="C379" t="s">
        <v>1409</v>
      </c>
      <c r="D379" t="s">
        <v>1511</v>
      </c>
      <c r="E379" t="s">
        <v>25</v>
      </c>
      <c r="F379" t="s">
        <v>26</v>
      </c>
      <c r="G379" t="str">
        <f t="shared" si="49"/>
        <v>37</v>
      </c>
      <c r="H379" t="str">
        <f t="shared" si="50"/>
        <v>11</v>
      </c>
      <c r="I379" t="s">
        <v>27</v>
      </c>
      <c r="J379">
        <v>30</v>
      </c>
      <c r="K379">
        <v>30</v>
      </c>
      <c r="L379" t="s">
        <v>28</v>
      </c>
      <c r="M379" t="s">
        <v>1513</v>
      </c>
      <c r="N379">
        <v>1</v>
      </c>
      <c r="O379" t="str">
        <f>"722"</f>
        <v>722</v>
      </c>
      <c r="P379" t="s">
        <v>30</v>
      </c>
      <c r="Q379" t="s">
        <v>27</v>
      </c>
      <c r="R379" t="s">
        <v>31</v>
      </c>
      <c r="S379" t="s">
        <v>28</v>
      </c>
      <c r="T379" t="str">
        <f>"99372299"</f>
        <v>99372299</v>
      </c>
      <c r="U379" t="s">
        <v>1514</v>
      </c>
      <c r="V379" t="s">
        <v>1515</v>
      </c>
    </row>
    <row r="380" spans="1:22" x14ac:dyDescent="0.25">
      <c r="A380" t="str">
        <f t="shared" ref="A380:A443" si="53">"10807"</f>
        <v>10807</v>
      </c>
      <c r="B380" t="s">
        <v>1408</v>
      </c>
      <c r="C380" t="s">
        <v>1409</v>
      </c>
      <c r="D380" t="s">
        <v>1516</v>
      </c>
      <c r="E380" t="s">
        <v>25</v>
      </c>
      <c r="F380" t="s">
        <v>26</v>
      </c>
      <c r="G380" t="str">
        <f t="shared" si="49"/>
        <v>37</v>
      </c>
      <c r="H380" t="str">
        <f t="shared" si="50"/>
        <v>11</v>
      </c>
      <c r="I380" t="s">
        <v>1331</v>
      </c>
      <c r="J380">
        <v>30</v>
      </c>
      <c r="K380">
        <v>30</v>
      </c>
      <c r="L380" t="s">
        <v>28</v>
      </c>
      <c r="M380" t="s">
        <v>1517</v>
      </c>
      <c r="N380">
        <v>1</v>
      </c>
      <c r="O380" t="str">
        <f>"722"</f>
        <v>722</v>
      </c>
      <c r="P380" t="s">
        <v>1413</v>
      </c>
      <c r="Q380" t="s">
        <v>1331</v>
      </c>
      <c r="R380" t="s">
        <v>31</v>
      </c>
      <c r="S380" t="s">
        <v>28</v>
      </c>
      <c r="T380" t="str">
        <f>"74868596"</f>
        <v>74868596</v>
      </c>
      <c r="U380" t="s">
        <v>1518</v>
      </c>
      <c r="V380" t="s">
        <v>1519</v>
      </c>
    </row>
    <row r="381" spans="1:22" x14ac:dyDescent="0.25">
      <c r="A381" t="str">
        <f t="shared" si="53"/>
        <v>10807</v>
      </c>
      <c r="B381" t="s">
        <v>1427</v>
      </c>
      <c r="C381" t="s">
        <v>1409</v>
      </c>
      <c r="D381" t="s">
        <v>1520</v>
      </c>
      <c r="E381" t="s">
        <v>25</v>
      </c>
      <c r="F381" t="s">
        <v>26</v>
      </c>
      <c r="G381" t="str">
        <f t="shared" si="49"/>
        <v>37</v>
      </c>
      <c r="H381" t="str">
        <f t="shared" si="50"/>
        <v>11</v>
      </c>
      <c r="I381" t="s">
        <v>1331</v>
      </c>
      <c r="J381">
        <v>10</v>
      </c>
      <c r="K381">
        <v>10</v>
      </c>
      <c r="L381" t="s">
        <v>28</v>
      </c>
      <c r="M381" t="s">
        <v>1522</v>
      </c>
      <c r="N381">
        <v>1</v>
      </c>
      <c r="O381" t="str">
        <f>"722"</f>
        <v>722</v>
      </c>
      <c r="P381" t="s">
        <v>1413</v>
      </c>
      <c r="Q381" t="s">
        <v>1331</v>
      </c>
      <c r="R381" t="s">
        <v>31</v>
      </c>
      <c r="S381" t="s">
        <v>28</v>
      </c>
      <c r="T381" t="str">
        <f>"39659592"</f>
        <v>39659592</v>
      </c>
      <c r="U381" t="s">
        <v>1523</v>
      </c>
      <c r="V381" t="s">
        <v>1524</v>
      </c>
    </row>
    <row r="382" spans="1:22" x14ac:dyDescent="0.25">
      <c r="A382" t="str">
        <f t="shared" si="53"/>
        <v>10807</v>
      </c>
      <c r="B382" t="s">
        <v>1408</v>
      </c>
      <c r="C382" t="s">
        <v>1409</v>
      </c>
      <c r="D382" t="s">
        <v>1525</v>
      </c>
      <c r="E382" t="s">
        <v>25</v>
      </c>
      <c r="F382" t="s">
        <v>26</v>
      </c>
      <c r="G382" t="str">
        <f t="shared" si="49"/>
        <v>37</v>
      </c>
      <c r="H382" t="str">
        <f t="shared" si="50"/>
        <v>11</v>
      </c>
      <c r="I382" t="s">
        <v>27</v>
      </c>
      <c r="J382">
        <v>28.370999999999999</v>
      </c>
      <c r="K382">
        <v>28.370999999999999</v>
      </c>
      <c r="L382" t="s">
        <v>28</v>
      </c>
      <c r="M382" t="s">
        <v>1527</v>
      </c>
      <c r="N382">
        <v>1</v>
      </c>
      <c r="O382" t="str">
        <f>"722"</f>
        <v>722</v>
      </c>
      <c r="P382" t="s">
        <v>30</v>
      </c>
      <c r="Q382" t="s">
        <v>27</v>
      </c>
      <c r="R382" t="s">
        <v>31</v>
      </c>
      <c r="S382" t="s">
        <v>28</v>
      </c>
      <c r="T382" t="str">
        <f>"47530022"</f>
        <v>47530022</v>
      </c>
      <c r="U382" t="s">
        <v>1528</v>
      </c>
      <c r="V382" t="s">
        <v>1529</v>
      </c>
    </row>
    <row r="383" spans="1:22" x14ac:dyDescent="0.25">
      <c r="A383" t="str">
        <f t="shared" si="53"/>
        <v>10807</v>
      </c>
      <c r="B383" t="s">
        <v>1416</v>
      </c>
      <c r="C383" t="s">
        <v>1409</v>
      </c>
      <c r="D383" t="s">
        <v>1530</v>
      </c>
      <c r="E383" t="s">
        <v>25</v>
      </c>
      <c r="F383" t="s">
        <v>26</v>
      </c>
      <c r="G383" t="str">
        <f t="shared" si="49"/>
        <v>37</v>
      </c>
      <c r="H383" t="str">
        <f t="shared" si="50"/>
        <v>11</v>
      </c>
      <c r="I383" t="s">
        <v>1027</v>
      </c>
      <c r="J383">
        <v>40</v>
      </c>
      <c r="K383">
        <v>40</v>
      </c>
      <c r="L383" t="s">
        <v>28</v>
      </c>
      <c r="M383" t="s">
        <v>1531</v>
      </c>
      <c r="N383">
        <v>1</v>
      </c>
      <c r="O383" t="str">
        <f>"721"</f>
        <v>721</v>
      </c>
      <c r="P383" t="s">
        <v>1029</v>
      </c>
      <c r="Q383" t="s">
        <v>1027</v>
      </c>
      <c r="R383" t="s">
        <v>31</v>
      </c>
      <c r="S383" t="s">
        <v>28</v>
      </c>
      <c r="T383" t="s">
        <v>1532</v>
      </c>
      <c r="U383" t="s">
        <v>1533</v>
      </c>
      <c r="V383" t="s">
        <v>1534</v>
      </c>
    </row>
    <row r="384" spans="1:22" x14ac:dyDescent="0.25">
      <c r="A384" t="str">
        <f t="shared" si="53"/>
        <v>10807</v>
      </c>
      <c r="B384" t="s">
        <v>1408</v>
      </c>
      <c r="C384" t="s">
        <v>1409</v>
      </c>
      <c r="D384" t="s">
        <v>1535</v>
      </c>
      <c r="E384" t="s">
        <v>25</v>
      </c>
      <c r="F384" t="s">
        <v>26</v>
      </c>
      <c r="G384" t="str">
        <f t="shared" si="49"/>
        <v>37</v>
      </c>
      <c r="H384" t="str">
        <f t="shared" si="50"/>
        <v>11</v>
      </c>
      <c r="I384" t="s">
        <v>1331</v>
      </c>
      <c r="J384">
        <v>30</v>
      </c>
      <c r="K384">
        <v>30</v>
      </c>
      <c r="L384" t="s">
        <v>28</v>
      </c>
      <c r="M384" t="s">
        <v>1537</v>
      </c>
      <c r="N384">
        <v>1</v>
      </c>
      <c r="O384" t="str">
        <f>"722"</f>
        <v>722</v>
      </c>
      <c r="P384" t="s">
        <v>1413</v>
      </c>
      <c r="Q384" t="s">
        <v>1331</v>
      </c>
      <c r="R384" t="s">
        <v>31</v>
      </c>
      <c r="S384" t="s">
        <v>28</v>
      </c>
      <c r="T384" t="str">
        <f>"26920903"</f>
        <v>26920903</v>
      </c>
      <c r="U384" t="s">
        <v>1538</v>
      </c>
      <c r="V384" t="s">
        <v>1539</v>
      </c>
    </row>
    <row r="385" spans="1:22" x14ac:dyDescent="0.25">
      <c r="A385" t="str">
        <f t="shared" si="53"/>
        <v>10807</v>
      </c>
      <c r="B385" t="s">
        <v>1427</v>
      </c>
      <c r="C385" t="s">
        <v>1409</v>
      </c>
      <c r="D385" t="s">
        <v>1540</v>
      </c>
      <c r="E385" t="s">
        <v>25</v>
      </c>
      <c r="F385" t="s">
        <v>26</v>
      </c>
      <c r="G385" t="str">
        <f t="shared" si="49"/>
        <v>37</v>
      </c>
      <c r="H385" t="str">
        <f t="shared" si="50"/>
        <v>11</v>
      </c>
      <c r="I385" t="s">
        <v>1228</v>
      </c>
      <c r="J385">
        <v>20</v>
      </c>
      <c r="K385">
        <v>20</v>
      </c>
      <c r="L385" t="s">
        <v>28</v>
      </c>
      <c r="M385" t="s">
        <v>1542</v>
      </c>
      <c r="N385">
        <v>1</v>
      </c>
      <c r="O385" t="str">
        <f>"722"</f>
        <v>722</v>
      </c>
      <c r="P385" t="s">
        <v>1543</v>
      </c>
      <c r="Q385" t="s">
        <v>1228</v>
      </c>
      <c r="R385" t="s">
        <v>31</v>
      </c>
      <c r="S385" t="s">
        <v>28</v>
      </c>
      <c r="T385" t="str">
        <f>"45455531"</f>
        <v>45455531</v>
      </c>
      <c r="U385" t="s">
        <v>1544</v>
      </c>
      <c r="V385" t="s">
        <v>1545</v>
      </c>
    </row>
    <row r="386" spans="1:22" x14ac:dyDescent="0.25">
      <c r="A386" t="str">
        <f t="shared" si="53"/>
        <v>10807</v>
      </c>
      <c r="B386" t="s">
        <v>1408</v>
      </c>
      <c r="C386" t="s">
        <v>1409</v>
      </c>
      <c r="D386" t="s">
        <v>1546</v>
      </c>
      <c r="E386" t="s">
        <v>25</v>
      </c>
      <c r="F386" t="s">
        <v>26</v>
      </c>
      <c r="G386" t="str">
        <f t="shared" si="49"/>
        <v>37</v>
      </c>
      <c r="H386" t="str">
        <f t="shared" si="50"/>
        <v>11</v>
      </c>
      <c r="I386" t="s">
        <v>1331</v>
      </c>
      <c r="J386">
        <v>50</v>
      </c>
      <c r="K386">
        <v>50</v>
      </c>
      <c r="L386" t="s">
        <v>28</v>
      </c>
      <c r="M386" t="s">
        <v>1547</v>
      </c>
      <c r="N386">
        <v>1</v>
      </c>
      <c r="O386" t="str">
        <f>"723"</f>
        <v>723</v>
      </c>
      <c r="P386" t="s">
        <v>1413</v>
      </c>
      <c r="Q386" t="s">
        <v>1331</v>
      </c>
      <c r="R386" t="s">
        <v>31</v>
      </c>
      <c r="S386" t="s">
        <v>28</v>
      </c>
      <c r="T386" t="str">
        <f>"56505903"</f>
        <v>56505903</v>
      </c>
      <c r="U386" t="s">
        <v>1450</v>
      </c>
      <c r="V386" t="s">
        <v>1451</v>
      </c>
    </row>
    <row r="387" spans="1:22" x14ac:dyDescent="0.25">
      <c r="A387" t="str">
        <f t="shared" si="53"/>
        <v>10807</v>
      </c>
      <c r="B387" t="s">
        <v>1416</v>
      </c>
      <c r="C387" t="s">
        <v>1409</v>
      </c>
      <c r="D387" t="s">
        <v>1548</v>
      </c>
      <c r="E387" t="s">
        <v>25</v>
      </c>
      <c r="F387" t="s">
        <v>26</v>
      </c>
      <c r="G387" t="str">
        <f t="shared" si="49"/>
        <v>37</v>
      </c>
      <c r="H387" t="str">
        <f t="shared" si="50"/>
        <v>11</v>
      </c>
      <c r="I387" t="s">
        <v>1027</v>
      </c>
      <c r="J387">
        <v>40</v>
      </c>
      <c r="K387">
        <v>40</v>
      </c>
      <c r="L387" t="s">
        <v>28</v>
      </c>
      <c r="M387" t="s">
        <v>1549</v>
      </c>
      <c r="N387">
        <v>1</v>
      </c>
      <c r="O387" t="str">
        <f>"721"</f>
        <v>721</v>
      </c>
      <c r="P387" t="s">
        <v>1029</v>
      </c>
      <c r="Q387" t="s">
        <v>1027</v>
      </c>
      <c r="R387" t="s">
        <v>31</v>
      </c>
      <c r="S387" t="s">
        <v>28</v>
      </c>
      <c r="T387" t="s">
        <v>1550</v>
      </c>
      <c r="U387" t="s">
        <v>1551</v>
      </c>
      <c r="V387" t="s">
        <v>1552</v>
      </c>
    </row>
    <row r="388" spans="1:22" x14ac:dyDescent="0.25">
      <c r="A388" t="str">
        <f t="shared" si="53"/>
        <v>10807</v>
      </c>
      <c r="B388" t="s">
        <v>1408</v>
      </c>
      <c r="C388" t="s">
        <v>1409</v>
      </c>
      <c r="D388" t="s">
        <v>1553</v>
      </c>
      <c r="E388" t="s">
        <v>25</v>
      </c>
      <c r="F388" t="s">
        <v>26</v>
      </c>
      <c r="G388" t="str">
        <f t="shared" si="49"/>
        <v>37</v>
      </c>
      <c r="H388" t="str">
        <f t="shared" si="50"/>
        <v>11</v>
      </c>
      <c r="I388" t="s">
        <v>1027</v>
      </c>
      <c r="J388">
        <v>30</v>
      </c>
      <c r="K388">
        <v>30</v>
      </c>
      <c r="L388" t="s">
        <v>28</v>
      </c>
      <c r="M388" t="s">
        <v>1554</v>
      </c>
      <c r="N388">
        <v>1</v>
      </c>
      <c r="O388" t="str">
        <f>"721"</f>
        <v>721</v>
      </c>
      <c r="P388" t="s">
        <v>1029</v>
      </c>
      <c r="Q388" t="s">
        <v>1027</v>
      </c>
      <c r="R388" t="s">
        <v>31</v>
      </c>
      <c r="S388" t="s">
        <v>28</v>
      </c>
      <c r="T388" t="s">
        <v>1555</v>
      </c>
      <c r="U388" t="s">
        <v>1556</v>
      </c>
      <c r="V388" t="s">
        <v>1557</v>
      </c>
    </row>
    <row r="389" spans="1:22" x14ac:dyDescent="0.25">
      <c r="A389" t="str">
        <f t="shared" si="53"/>
        <v>10807</v>
      </c>
      <c r="B389" t="s">
        <v>1416</v>
      </c>
      <c r="C389" t="s">
        <v>1409</v>
      </c>
      <c r="D389" t="s">
        <v>1558</v>
      </c>
      <c r="E389" t="s">
        <v>25</v>
      </c>
      <c r="F389" t="s">
        <v>26</v>
      </c>
      <c r="G389" t="str">
        <f t="shared" ref="G389:G420" si="54">"37"</f>
        <v>37</v>
      </c>
      <c r="H389" t="str">
        <f t="shared" ref="H389:H412" si="55">"11"</f>
        <v>11</v>
      </c>
      <c r="I389" t="s">
        <v>1027</v>
      </c>
      <c r="J389">
        <v>40</v>
      </c>
      <c r="K389">
        <v>40</v>
      </c>
      <c r="L389" t="s">
        <v>28</v>
      </c>
      <c r="M389" t="s">
        <v>1559</v>
      </c>
      <c r="N389">
        <v>1</v>
      </c>
      <c r="O389" t="str">
        <f>"721"</f>
        <v>721</v>
      </c>
      <c r="P389" t="s">
        <v>1029</v>
      </c>
      <c r="Q389" t="s">
        <v>1027</v>
      </c>
      <c r="R389" t="s">
        <v>31</v>
      </c>
      <c r="S389" t="s">
        <v>28</v>
      </c>
      <c r="T389" t="s">
        <v>1560</v>
      </c>
      <c r="U389" t="s">
        <v>1561</v>
      </c>
      <c r="V389" t="s">
        <v>1562</v>
      </c>
    </row>
    <row r="390" spans="1:22" x14ac:dyDescent="0.25">
      <c r="A390" t="str">
        <f t="shared" si="53"/>
        <v>10807</v>
      </c>
      <c r="B390" t="s">
        <v>1408</v>
      </c>
      <c r="C390" t="s">
        <v>1409</v>
      </c>
      <c r="D390" t="s">
        <v>1563</v>
      </c>
      <c r="E390" t="s">
        <v>25</v>
      </c>
      <c r="F390" t="s">
        <v>26</v>
      </c>
      <c r="G390" t="str">
        <f t="shared" si="54"/>
        <v>37</v>
      </c>
      <c r="H390" t="str">
        <f t="shared" si="55"/>
        <v>11</v>
      </c>
      <c r="I390" t="s">
        <v>1460</v>
      </c>
      <c r="J390">
        <v>40</v>
      </c>
      <c r="K390">
        <v>40</v>
      </c>
      <c r="L390" t="s">
        <v>28</v>
      </c>
      <c r="M390" t="s">
        <v>1564</v>
      </c>
      <c r="N390">
        <v>1</v>
      </c>
      <c r="O390" t="str">
        <f>"723"</f>
        <v>723</v>
      </c>
      <c r="P390" t="s">
        <v>1462</v>
      </c>
      <c r="Q390" t="s">
        <v>1460</v>
      </c>
      <c r="R390" t="s">
        <v>31</v>
      </c>
      <c r="S390" t="s">
        <v>28</v>
      </c>
      <c r="T390" t="str">
        <f>"56505903"</f>
        <v>56505903</v>
      </c>
      <c r="U390" t="s">
        <v>1450</v>
      </c>
      <c r="V390" t="s">
        <v>1451</v>
      </c>
    </row>
    <row r="391" spans="1:22" x14ac:dyDescent="0.25">
      <c r="A391" t="str">
        <f t="shared" si="53"/>
        <v>10807</v>
      </c>
      <c r="B391" t="s">
        <v>1408</v>
      </c>
      <c r="C391" t="s">
        <v>1409</v>
      </c>
      <c r="D391" t="s">
        <v>1565</v>
      </c>
      <c r="E391" t="s">
        <v>25</v>
      </c>
      <c r="F391" t="s">
        <v>26</v>
      </c>
      <c r="G391" t="str">
        <f t="shared" si="54"/>
        <v>37</v>
      </c>
      <c r="H391" t="str">
        <f t="shared" si="55"/>
        <v>11</v>
      </c>
      <c r="I391" t="s">
        <v>1460</v>
      </c>
      <c r="J391">
        <v>20</v>
      </c>
      <c r="K391">
        <v>20</v>
      </c>
      <c r="L391" t="s">
        <v>28</v>
      </c>
      <c r="M391" t="s">
        <v>1566</v>
      </c>
      <c r="N391">
        <v>1</v>
      </c>
      <c r="O391" t="str">
        <f>"723"</f>
        <v>723</v>
      </c>
      <c r="P391" t="s">
        <v>1462</v>
      </c>
      <c r="Q391" t="s">
        <v>1460</v>
      </c>
      <c r="R391" t="s">
        <v>31</v>
      </c>
      <c r="S391" t="s">
        <v>28</v>
      </c>
      <c r="T391" t="str">
        <f>"56505903"</f>
        <v>56505903</v>
      </c>
      <c r="U391" t="s">
        <v>1450</v>
      </c>
      <c r="V391" t="s">
        <v>1451</v>
      </c>
    </row>
    <row r="392" spans="1:22" x14ac:dyDescent="0.25">
      <c r="A392" t="str">
        <f t="shared" si="53"/>
        <v>10807</v>
      </c>
      <c r="B392" t="s">
        <v>1427</v>
      </c>
      <c r="C392" t="s">
        <v>1409</v>
      </c>
      <c r="D392" t="s">
        <v>1567</v>
      </c>
      <c r="E392" t="s">
        <v>25</v>
      </c>
      <c r="F392" t="s">
        <v>26</v>
      </c>
      <c r="G392" t="str">
        <f t="shared" si="54"/>
        <v>37</v>
      </c>
      <c r="H392" t="str">
        <f t="shared" si="55"/>
        <v>11</v>
      </c>
      <c r="I392" t="s">
        <v>1460</v>
      </c>
      <c r="J392">
        <v>40</v>
      </c>
      <c r="K392">
        <v>40</v>
      </c>
      <c r="L392" t="s">
        <v>28</v>
      </c>
      <c r="M392" t="s">
        <v>1569</v>
      </c>
      <c r="N392">
        <v>1</v>
      </c>
      <c r="O392" t="str">
        <f>"722"</f>
        <v>722</v>
      </c>
      <c r="P392" t="s">
        <v>1462</v>
      </c>
      <c r="Q392" t="s">
        <v>1460</v>
      </c>
      <c r="R392" t="s">
        <v>31</v>
      </c>
      <c r="S392" t="s">
        <v>28</v>
      </c>
      <c r="T392" t="str">
        <f>"39662631"</f>
        <v>39662631</v>
      </c>
      <c r="U392" t="s">
        <v>1570</v>
      </c>
      <c r="V392" t="s">
        <v>1571</v>
      </c>
    </row>
    <row r="393" spans="1:22" x14ac:dyDescent="0.25">
      <c r="A393" t="str">
        <f t="shared" si="53"/>
        <v>10807</v>
      </c>
      <c r="B393" t="s">
        <v>1408</v>
      </c>
      <c r="C393" t="s">
        <v>1409</v>
      </c>
      <c r="D393" t="s">
        <v>1572</v>
      </c>
      <c r="E393" t="s">
        <v>25</v>
      </c>
      <c r="F393" t="s">
        <v>26</v>
      </c>
      <c r="G393" t="str">
        <f t="shared" si="54"/>
        <v>37</v>
      </c>
      <c r="H393" t="str">
        <f t="shared" si="55"/>
        <v>11</v>
      </c>
      <c r="I393" t="s">
        <v>1331</v>
      </c>
      <c r="J393">
        <v>10</v>
      </c>
      <c r="K393">
        <v>10</v>
      </c>
      <c r="L393" t="s">
        <v>28</v>
      </c>
      <c r="M393" t="s">
        <v>1573</v>
      </c>
      <c r="N393">
        <v>1</v>
      </c>
      <c r="O393" t="str">
        <f>"723"</f>
        <v>723</v>
      </c>
      <c r="P393" t="s">
        <v>1413</v>
      </c>
      <c r="Q393" t="s">
        <v>1331</v>
      </c>
      <c r="R393" t="s">
        <v>31</v>
      </c>
      <c r="S393" t="s">
        <v>28</v>
      </c>
      <c r="T393" t="str">
        <f>"56505903"</f>
        <v>56505903</v>
      </c>
      <c r="U393" t="s">
        <v>1450</v>
      </c>
      <c r="V393" t="s">
        <v>1451</v>
      </c>
    </row>
    <row r="394" spans="1:22" x14ac:dyDescent="0.25">
      <c r="A394" t="str">
        <f t="shared" si="53"/>
        <v>10807</v>
      </c>
      <c r="B394" t="s">
        <v>1416</v>
      </c>
      <c r="C394" t="s">
        <v>1409</v>
      </c>
      <c r="D394" t="s">
        <v>1574</v>
      </c>
      <c r="E394" t="s">
        <v>25</v>
      </c>
      <c r="F394" t="s">
        <v>26</v>
      </c>
      <c r="G394" t="str">
        <f t="shared" si="54"/>
        <v>37</v>
      </c>
      <c r="H394" t="str">
        <f t="shared" si="55"/>
        <v>11</v>
      </c>
      <c r="I394" t="s">
        <v>1331</v>
      </c>
      <c r="J394">
        <v>25.204000000000001</v>
      </c>
      <c r="K394">
        <v>25.204000000000001</v>
      </c>
      <c r="L394" t="s">
        <v>28</v>
      </c>
      <c r="M394" t="s">
        <v>1576</v>
      </c>
      <c r="N394">
        <v>1</v>
      </c>
      <c r="O394" t="str">
        <f>"722"</f>
        <v>722</v>
      </c>
      <c r="P394" t="s">
        <v>1413</v>
      </c>
      <c r="Q394" t="s">
        <v>1331</v>
      </c>
      <c r="R394" t="s">
        <v>31</v>
      </c>
      <c r="S394" t="s">
        <v>28</v>
      </c>
      <c r="T394" t="str">
        <f>"14706936"</f>
        <v>14706936</v>
      </c>
      <c r="U394" t="s">
        <v>1577</v>
      </c>
      <c r="V394" t="s">
        <v>1578</v>
      </c>
    </row>
    <row r="395" spans="1:22" x14ac:dyDescent="0.25">
      <c r="A395" t="str">
        <f t="shared" si="53"/>
        <v>10807</v>
      </c>
      <c r="B395" t="s">
        <v>1408</v>
      </c>
      <c r="C395" t="s">
        <v>1409</v>
      </c>
      <c r="D395" t="s">
        <v>1579</v>
      </c>
      <c r="E395" t="s">
        <v>25</v>
      </c>
      <c r="F395" t="s">
        <v>26</v>
      </c>
      <c r="G395" t="str">
        <f t="shared" si="54"/>
        <v>37</v>
      </c>
      <c r="H395" t="str">
        <f t="shared" si="55"/>
        <v>11</v>
      </c>
      <c r="I395" t="s">
        <v>1027</v>
      </c>
      <c r="J395">
        <v>40</v>
      </c>
      <c r="K395">
        <v>40</v>
      </c>
      <c r="L395" t="s">
        <v>28</v>
      </c>
      <c r="M395" t="s">
        <v>1580</v>
      </c>
      <c r="N395">
        <v>1</v>
      </c>
      <c r="O395" t="str">
        <f>"721"</f>
        <v>721</v>
      </c>
      <c r="P395" t="s">
        <v>1029</v>
      </c>
      <c r="Q395" t="s">
        <v>1027</v>
      </c>
      <c r="R395" t="s">
        <v>31</v>
      </c>
      <c r="S395" t="s">
        <v>28</v>
      </c>
      <c r="T395" t="s">
        <v>1581</v>
      </c>
      <c r="U395" t="s">
        <v>1582</v>
      </c>
      <c r="V395" t="s">
        <v>1583</v>
      </c>
    </row>
    <row r="396" spans="1:22" x14ac:dyDescent="0.25">
      <c r="A396" t="str">
        <f t="shared" si="53"/>
        <v>10807</v>
      </c>
      <c r="B396" t="s">
        <v>1416</v>
      </c>
      <c r="C396" t="s">
        <v>1409</v>
      </c>
      <c r="D396" t="s">
        <v>1584</v>
      </c>
      <c r="E396" t="s">
        <v>25</v>
      </c>
      <c r="F396" t="s">
        <v>26</v>
      </c>
      <c r="G396" t="str">
        <f t="shared" si="54"/>
        <v>37</v>
      </c>
      <c r="H396" t="str">
        <f t="shared" si="55"/>
        <v>11</v>
      </c>
      <c r="I396" t="s">
        <v>27</v>
      </c>
      <c r="J396">
        <v>50</v>
      </c>
      <c r="K396">
        <v>50</v>
      </c>
      <c r="L396" t="s">
        <v>28</v>
      </c>
      <c r="M396" t="s">
        <v>1586</v>
      </c>
      <c r="N396">
        <v>1</v>
      </c>
      <c r="O396" t="str">
        <f>"722"</f>
        <v>722</v>
      </c>
      <c r="P396" t="s">
        <v>30</v>
      </c>
      <c r="Q396" t="s">
        <v>27</v>
      </c>
      <c r="R396" t="s">
        <v>31</v>
      </c>
      <c r="S396" t="s">
        <v>28</v>
      </c>
      <c r="T396" t="str">
        <f>"15582911"</f>
        <v>15582911</v>
      </c>
      <c r="U396" t="s">
        <v>1587</v>
      </c>
      <c r="V396" t="s">
        <v>1588</v>
      </c>
    </row>
    <row r="397" spans="1:22" x14ac:dyDescent="0.25">
      <c r="A397" t="str">
        <f t="shared" si="53"/>
        <v>10807</v>
      </c>
      <c r="B397" t="s">
        <v>1589</v>
      </c>
      <c r="C397" t="s">
        <v>1590</v>
      </c>
      <c r="D397" t="s">
        <v>1591</v>
      </c>
      <c r="E397" t="s">
        <v>25</v>
      </c>
      <c r="F397" t="s">
        <v>26</v>
      </c>
      <c r="G397" t="str">
        <f t="shared" si="54"/>
        <v>37</v>
      </c>
      <c r="H397" t="str">
        <f t="shared" si="55"/>
        <v>11</v>
      </c>
      <c r="I397" t="s">
        <v>1228</v>
      </c>
      <c r="J397">
        <v>30</v>
      </c>
      <c r="K397">
        <v>0</v>
      </c>
      <c r="L397" t="s">
        <v>28</v>
      </c>
      <c r="M397" t="s">
        <v>1592</v>
      </c>
      <c r="N397">
        <v>1</v>
      </c>
      <c r="O397" t="str">
        <f>"722"</f>
        <v>722</v>
      </c>
      <c r="P397" t="s">
        <v>1593</v>
      </c>
      <c r="Q397" t="s">
        <v>1228</v>
      </c>
      <c r="R397" t="s">
        <v>31</v>
      </c>
      <c r="S397" t="s">
        <v>28</v>
      </c>
      <c r="T397" t="str">
        <f>"17879559"</f>
        <v>17879559</v>
      </c>
      <c r="U397" t="s">
        <v>1594</v>
      </c>
      <c r="V397" t="s">
        <v>1595</v>
      </c>
    </row>
    <row r="398" spans="1:22" x14ac:dyDescent="0.25">
      <c r="A398" t="str">
        <f t="shared" si="53"/>
        <v>10807</v>
      </c>
      <c r="B398" t="s">
        <v>1589</v>
      </c>
      <c r="C398" t="s">
        <v>1590</v>
      </c>
      <c r="D398" t="s">
        <v>1596</v>
      </c>
      <c r="E398" t="s">
        <v>25</v>
      </c>
      <c r="F398" t="s">
        <v>26</v>
      </c>
      <c r="G398" t="str">
        <f t="shared" si="54"/>
        <v>37</v>
      </c>
      <c r="H398" t="str">
        <f t="shared" si="55"/>
        <v>11</v>
      </c>
      <c r="I398" t="s">
        <v>1246</v>
      </c>
      <c r="J398">
        <v>25</v>
      </c>
      <c r="K398">
        <v>0</v>
      </c>
      <c r="L398" t="s">
        <v>28</v>
      </c>
      <c r="M398" t="s">
        <v>1597</v>
      </c>
      <c r="N398">
        <v>1</v>
      </c>
      <c r="O398" t="str">
        <f>"723"</f>
        <v>723</v>
      </c>
      <c r="P398" t="s">
        <v>1598</v>
      </c>
      <c r="Q398" t="s">
        <v>1246</v>
      </c>
      <c r="R398" t="s">
        <v>31</v>
      </c>
      <c r="S398" t="s">
        <v>28</v>
      </c>
      <c r="T398" t="str">
        <f>"08426887"</f>
        <v>08426887</v>
      </c>
      <c r="U398" t="s">
        <v>1599</v>
      </c>
      <c r="V398" t="s">
        <v>1600</v>
      </c>
    </row>
    <row r="399" spans="1:22" x14ac:dyDescent="0.25">
      <c r="A399" t="str">
        <f t="shared" si="53"/>
        <v>10807</v>
      </c>
      <c r="B399" t="s">
        <v>1589</v>
      </c>
      <c r="C399" t="s">
        <v>1590</v>
      </c>
      <c r="D399" t="s">
        <v>1601</v>
      </c>
      <c r="E399" t="s">
        <v>25</v>
      </c>
      <c r="F399" t="s">
        <v>26</v>
      </c>
      <c r="G399" t="str">
        <f t="shared" si="54"/>
        <v>37</v>
      </c>
      <c r="H399" t="str">
        <f t="shared" si="55"/>
        <v>11</v>
      </c>
      <c r="I399" t="s">
        <v>1246</v>
      </c>
      <c r="J399">
        <v>25</v>
      </c>
      <c r="K399">
        <v>0</v>
      </c>
      <c r="L399" t="s">
        <v>28</v>
      </c>
      <c r="M399" t="s">
        <v>1602</v>
      </c>
      <c r="N399">
        <v>1</v>
      </c>
      <c r="O399" t="str">
        <f>"723"</f>
        <v>723</v>
      </c>
      <c r="P399" t="s">
        <v>1603</v>
      </c>
      <c r="Q399" t="s">
        <v>1246</v>
      </c>
      <c r="R399" t="s">
        <v>31</v>
      </c>
      <c r="S399" t="s">
        <v>28</v>
      </c>
      <c r="T399" t="str">
        <f>"45012614"</f>
        <v>45012614</v>
      </c>
      <c r="U399" t="s">
        <v>1604</v>
      </c>
      <c r="V399" t="s">
        <v>1605</v>
      </c>
    </row>
    <row r="400" spans="1:22" x14ac:dyDescent="0.25">
      <c r="A400" t="str">
        <f t="shared" si="53"/>
        <v>10807</v>
      </c>
      <c r="B400" t="s">
        <v>1589</v>
      </c>
      <c r="C400" t="s">
        <v>1590</v>
      </c>
      <c r="D400" t="s">
        <v>1606</v>
      </c>
      <c r="E400" t="s">
        <v>25</v>
      </c>
      <c r="F400" t="s">
        <v>26</v>
      </c>
      <c r="G400" t="str">
        <f t="shared" si="54"/>
        <v>37</v>
      </c>
      <c r="H400" t="str">
        <f t="shared" si="55"/>
        <v>11</v>
      </c>
      <c r="I400" t="s">
        <v>37</v>
      </c>
      <c r="J400">
        <v>30</v>
      </c>
      <c r="K400">
        <v>0</v>
      </c>
      <c r="L400" t="s">
        <v>28</v>
      </c>
      <c r="M400" t="s">
        <v>1607</v>
      </c>
      <c r="N400">
        <v>1</v>
      </c>
      <c r="O400" t="str">
        <f t="shared" ref="O400:O410" si="56">"722"</f>
        <v>722</v>
      </c>
      <c r="P400" t="s">
        <v>1608</v>
      </c>
      <c r="Q400" t="s">
        <v>37</v>
      </c>
      <c r="R400" t="s">
        <v>31</v>
      </c>
      <c r="S400" t="s">
        <v>28</v>
      </c>
      <c r="T400" t="str">
        <f>"17133102"</f>
        <v>17133102</v>
      </c>
      <c r="U400" t="s">
        <v>1609</v>
      </c>
      <c r="V400" t="s">
        <v>1610</v>
      </c>
    </row>
    <row r="401" spans="1:22" x14ac:dyDescent="0.25">
      <c r="A401" t="str">
        <f t="shared" si="53"/>
        <v>10807</v>
      </c>
      <c r="B401" t="s">
        <v>1589</v>
      </c>
      <c r="C401" t="s">
        <v>1590</v>
      </c>
      <c r="D401" t="s">
        <v>1611</v>
      </c>
      <c r="E401" t="s">
        <v>25</v>
      </c>
      <c r="F401" t="s">
        <v>26</v>
      </c>
      <c r="G401" t="str">
        <f t="shared" si="54"/>
        <v>37</v>
      </c>
      <c r="H401" t="str">
        <f t="shared" si="55"/>
        <v>11</v>
      </c>
      <c r="I401" t="s">
        <v>37</v>
      </c>
      <c r="J401">
        <v>20</v>
      </c>
      <c r="K401">
        <v>0</v>
      </c>
      <c r="L401" t="s">
        <v>28</v>
      </c>
      <c r="M401" t="s">
        <v>1612</v>
      </c>
      <c r="N401">
        <v>1</v>
      </c>
      <c r="O401" t="str">
        <f t="shared" si="56"/>
        <v>722</v>
      </c>
      <c r="P401" t="s">
        <v>1613</v>
      </c>
      <c r="Q401" t="s">
        <v>37</v>
      </c>
      <c r="R401" t="s">
        <v>31</v>
      </c>
      <c r="S401" t="s">
        <v>28</v>
      </c>
      <c r="T401" t="str">
        <f>"47448868"</f>
        <v>47448868</v>
      </c>
      <c r="U401" t="s">
        <v>1614</v>
      </c>
      <c r="V401" t="s">
        <v>1615</v>
      </c>
    </row>
    <row r="402" spans="1:22" x14ac:dyDescent="0.25">
      <c r="A402" t="str">
        <f t="shared" si="53"/>
        <v>10807</v>
      </c>
      <c r="B402" t="s">
        <v>1408</v>
      </c>
      <c r="C402" t="s">
        <v>1616</v>
      </c>
      <c r="D402" t="s">
        <v>1617</v>
      </c>
      <c r="E402" t="s">
        <v>25</v>
      </c>
      <c r="F402" t="s">
        <v>26</v>
      </c>
      <c r="G402" t="str">
        <f t="shared" si="54"/>
        <v>37</v>
      </c>
      <c r="H402" t="str">
        <f t="shared" si="55"/>
        <v>11</v>
      </c>
      <c r="I402" t="s">
        <v>1228</v>
      </c>
      <c r="J402">
        <v>20</v>
      </c>
      <c r="K402">
        <v>20</v>
      </c>
      <c r="L402" t="s">
        <v>28</v>
      </c>
      <c r="M402" t="s">
        <v>1618</v>
      </c>
      <c r="N402">
        <v>1</v>
      </c>
      <c r="O402" t="str">
        <f t="shared" si="56"/>
        <v>722</v>
      </c>
      <c r="P402" t="s">
        <v>1303</v>
      </c>
      <c r="Q402" t="s">
        <v>1228</v>
      </c>
      <c r="R402" t="s">
        <v>31</v>
      </c>
      <c r="S402" t="s">
        <v>28</v>
      </c>
      <c r="T402" t="str">
        <f>"25284031"</f>
        <v>25284031</v>
      </c>
      <c r="U402" t="s">
        <v>1619</v>
      </c>
      <c r="V402" t="s">
        <v>1620</v>
      </c>
    </row>
    <row r="403" spans="1:22" x14ac:dyDescent="0.25">
      <c r="A403" t="str">
        <f t="shared" si="53"/>
        <v>10807</v>
      </c>
      <c r="B403" t="s">
        <v>1408</v>
      </c>
      <c r="C403" t="s">
        <v>1616</v>
      </c>
      <c r="D403" t="s">
        <v>1621</v>
      </c>
      <c r="E403" t="s">
        <v>25</v>
      </c>
      <c r="F403" t="s">
        <v>26</v>
      </c>
      <c r="G403" t="str">
        <f t="shared" si="54"/>
        <v>37</v>
      </c>
      <c r="H403" t="str">
        <f t="shared" si="55"/>
        <v>11</v>
      </c>
      <c r="I403" t="s">
        <v>37</v>
      </c>
      <c r="J403">
        <v>20</v>
      </c>
      <c r="K403">
        <v>20</v>
      </c>
      <c r="L403" t="s">
        <v>28</v>
      </c>
      <c r="M403" t="s">
        <v>1622</v>
      </c>
      <c r="N403">
        <v>1</v>
      </c>
      <c r="O403" t="str">
        <f t="shared" si="56"/>
        <v>722</v>
      </c>
      <c r="P403" t="s">
        <v>1312</v>
      </c>
      <c r="Q403" t="s">
        <v>37</v>
      </c>
      <c r="R403" t="s">
        <v>31</v>
      </c>
      <c r="S403" t="s">
        <v>28</v>
      </c>
      <c r="T403" t="str">
        <f>"19313283"</f>
        <v>19313283</v>
      </c>
      <c r="U403" t="s">
        <v>1623</v>
      </c>
      <c r="V403" t="s">
        <v>1624</v>
      </c>
    </row>
    <row r="404" spans="1:22" x14ac:dyDescent="0.25">
      <c r="A404" t="str">
        <f t="shared" si="53"/>
        <v>10807</v>
      </c>
      <c r="B404" t="s">
        <v>1408</v>
      </c>
      <c r="C404" t="s">
        <v>1616</v>
      </c>
      <c r="D404" t="s">
        <v>1625</v>
      </c>
      <c r="E404" t="s">
        <v>25</v>
      </c>
      <c r="F404" t="s">
        <v>26</v>
      </c>
      <c r="G404" t="str">
        <f t="shared" si="54"/>
        <v>37</v>
      </c>
      <c r="H404" t="str">
        <f t="shared" si="55"/>
        <v>11</v>
      </c>
      <c r="I404" t="s">
        <v>1228</v>
      </c>
      <c r="J404">
        <v>20</v>
      </c>
      <c r="K404">
        <v>20</v>
      </c>
      <c r="L404" t="s">
        <v>28</v>
      </c>
      <c r="M404" t="s">
        <v>1626</v>
      </c>
      <c r="N404">
        <v>1</v>
      </c>
      <c r="O404" t="str">
        <f t="shared" si="56"/>
        <v>722</v>
      </c>
      <c r="P404" t="s">
        <v>1303</v>
      </c>
      <c r="Q404" t="s">
        <v>1228</v>
      </c>
      <c r="R404" t="s">
        <v>31</v>
      </c>
      <c r="S404" t="s">
        <v>28</v>
      </c>
      <c r="T404" t="str">
        <f>"25288634"</f>
        <v>25288634</v>
      </c>
      <c r="U404" t="s">
        <v>1627</v>
      </c>
      <c r="V404" t="s">
        <v>1628</v>
      </c>
    </row>
    <row r="405" spans="1:22" x14ac:dyDescent="0.25">
      <c r="A405" t="str">
        <f t="shared" si="53"/>
        <v>10807</v>
      </c>
      <c r="B405" t="s">
        <v>1408</v>
      </c>
      <c r="C405" t="s">
        <v>1616</v>
      </c>
      <c r="D405" t="s">
        <v>1629</v>
      </c>
      <c r="E405" t="s">
        <v>25</v>
      </c>
      <c r="F405" t="s">
        <v>26</v>
      </c>
      <c r="G405" t="str">
        <f t="shared" si="54"/>
        <v>37</v>
      </c>
      <c r="H405" t="str">
        <f t="shared" si="55"/>
        <v>11</v>
      </c>
      <c r="I405" t="s">
        <v>37</v>
      </c>
      <c r="J405">
        <v>10</v>
      </c>
      <c r="K405">
        <v>10</v>
      </c>
      <c r="L405" t="s">
        <v>28</v>
      </c>
      <c r="M405" t="s">
        <v>1630</v>
      </c>
      <c r="N405">
        <v>1</v>
      </c>
      <c r="O405" t="str">
        <f t="shared" si="56"/>
        <v>722</v>
      </c>
      <c r="P405" t="s">
        <v>1312</v>
      </c>
      <c r="Q405" t="s">
        <v>37</v>
      </c>
      <c r="R405" t="s">
        <v>31</v>
      </c>
      <c r="S405" t="s">
        <v>28</v>
      </c>
      <c r="T405" t="str">
        <f>"17714229"</f>
        <v>17714229</v>
      </c>
      <c r="U405" t="s">
        <v>1631</v>
      </c>
      <c r="V405" t="s">
        <v>1632</v>
      </c>
    </row>
    <row r="406" spans="1:22" x14ac:dyDescent="0.25">
      <c r="A406" t="str">
        <f t="shared" si="53"/>
        <v>10807</v>
      </c>
      <c r="B406" t="s">
        <v>1408</v>
      </c>
      <c r="C406" t="s">
        <v>1616</v>
      </c>
      <c r="D406" t="s">
        <v>1633</v>
      </c>
      <c r="E406" t="s">
        <v>25</v>
      </c>
      <c r="F406" t="s">
        <v>26</v>
      </c>
      <c r="G406" t="str">
        <f t="shared" si="54"/>
        <v>37</v>
      </c>
      <c r="H406" t="str">
        <f t="shared" si="55"/>
        <v>11</v>
      </c>
      <c r="I406" t="s">
        <v>1228</v>
      </c>
      <c r="J406">
        <v>20</v>
      </c>
      <c r="K406">
        <v>20</v>
      </c>
      <c r="L406" t="s">
        <v>28</v>
      </c>
      <c r="M406" t="s">
        <v>1634</v>
      </c>
      <c r="N406">
        <v>1</v>
      </c>
      <c r="O406" t="str">
        <f t="shared" si="56"/>
        <v>722</v>
      </c>
      <c r="P406" t="s">
        <v>1303</v>
      </c>
      <c r="Q406" t="s">
        <v>1228</v>
      </c>
      <c r="R406" t="s">
        <v>31</v>
      </c>
      <c r="S406" t="s">
        <v>28</v>
      </c>
      <c r="T406" t="str">
        <f>"25265718"</f>
        <v>25265718</v>
      </c>
      <c r="U406" t="s">
        <v>1635</v>
      </c>
      <c r="V406" t="s">
        <v>1636</v>
      </c>
    </row>
    <row r="407" spans="1:22" x14ac:dyDescent="0.25">
      <c r="A407" t="str">
        <f t="shared" si="53"/>
        <v>10807</v>
      </c>
      <c r="B407" t="s">
        <v>1408</v>
      </c>
      <c r="C407" t="s">
        <v>1616</v>
      </c>
      <c r="D407" t="s">
        <v>1637</v>
      </c>
      <c r="E407" t="s">
        <v>25</v>
      </c>
      <c r="F407" t="s">
        <v>26</v>
      </c>
      <c r="G407" t="str">
        <f t="shared" si="54"/>
        <v>37</v>
      </c>
      <c r="H407" t="str">
        <f t="shared" si="55"/>
        <v>11</v>
      </c>
      <c r="I407" t="s">
        <v>37</v>
      </c>
      <c r="J407">
        <v>20</v>
      </c>
      <c r="K407">
        <v>20</v>
      </c>
      <c r="L407" t="s">
        <v>28</v>
      </c>
      <c r="M407" t="s">
        <v>1638</v>
      </c>
      <c r="N407">
        <v>1</v>
      </c>
      <c r="O407" t="str">
        <f t="shared" si="56"/>
        <v>722</v>
      </c>
      <c r="P407" t="s">
        <v>1312</v>
      </c>
      <c r="Q407" t="s">
        <v>37</v>
      </c>
      <c r="R407" t="s">
        <v>31</v>
      </c>
      <c r="S407" t="s">
        <v>28</v>
      </c>
      <c r="T407" t="str">
        <f>"10934542"</f>
        <v>10934542</v>
      </c>
      <c r="U407" t="s">
        <v>1639</v>
      </c>
      <c r="V407" t="s">
        <v>1640</v>
      </c>
    </row>
    <row r="408" spans="1:22" x14ac:dyDescent="0.25">
      <c r="A408" t="str">
        <f t="shared" si="53"/>
        <v>10807</v>
      </c>
      <c r="B408" t="s">
        <v>1408</v>
      </c>
      <c r="C408" t="s">
        <v>1616</v>
      </c>
      <c r="D408" t="s">
        <v>1641</v>
      </c>
      <c r="E408" t="s">
        <v>25</v>
      </c>
      <c r="F408" t="s">
        <v>26</v>
      </c>
      <c r="G408" t="str">
        <f t="shared" si="54"/>
        <v>37</v>
      </c>
      <c r="H408" t="str">
        <f t="shared" si="55"/>
        <v>11</v>
      </c>
      <c r="I408" t="s">
        <v>27</v>
      </c>
      <c r="J408">
        <v>10</v>
      </c>
      <c r="K408">
        <v>10</v>
      </c>
      <c r="L408" t="s">
        <v>28</v>
      </c>
      <c r="M408" t="s">
        <v>1642</v>
      </c>
      <c r="N408">
        <v>1</v>
      </c>
      <c r="O408" t="str">
        <f t="shared" si="56"/>
        <v>722</v>
      </c>
      <c r="P408" t="s">
        <v>1643</v>
      </c>
      <c r="Q408" t="s">
        <v>27</v>
      </c>
      <c r="R408" t="s">
        <v>31</v>
      </c>
      <c r="S408" t="s">
        <v>28</v>
      </c>
      <c r="T408" t="str">
        <f>"26823493"</f>
        <v>26823493</v>
      </c>
      <c r="U408" t="s">
        <v>1644</v>
      </c>
      <c r="V408" t="s">
        <v>1645</v>
      </c>
    </row>
    <row r="409" spans="1:22" x14ac:dyDescent="0.25">
      <c r="A409" t="str">
        <f t="shared" si="53"/>
        <v>10807</v>
      </c>
      <c r="B409" t="s">
        <v>1408</v>
      </c>
      <c r="C409" t="s">
        <v>1616</v>
      </c>
      <c r="D409" t="s">
        <v>1646</v>
      </c>
      <c r="E409" t="s">
        <v>25</v>
      </c>
      <c r="F409" t="s">
        <v>26</v>
      </c>
      <c r="G409" t="str">
        <f t="shared" si="54"/>
        <v>37</v>
      </c>
      <c r="H409" t="str">
        <f t="shared" si="55"/>
        <v>11</v>
      </c>
      <c r="I409" t="s">
        <v>37</v>
      </c>
      <c r="J409">
        <v>30</v>
      </c>
      <c r="K409">
        <v>30</v>
      </c>
      <c r="L409" t="s">
        <v>28</v>
      </c>
      <c r="M409" t="s">
        <v>1647</v>
      </c>
      <c r="N409">
        <v>1</v>
      </c>
      <c r="O409" t="str">
        <f t="shared" si="56"/>
        <v>722</v>
      </c>
      <c r="P409" t="s">
        <v>1312</v>
      </c>
      <c r="Q409" t="s">
        <v>37</v>
      </c>
      <c r="R409" t="s">
        <v>31</v>
      </c>
      <c r="S409" t="s">
        <v>28</v>
      </c>
      <c r="T409" t="str">
        <f>"95828466"</f>
        <v>95828466</v>
      </c>
      <c r="U409" t="s">
        <v>1648</v>
      </c>
      <c r="V409" t="s">
        <v>1649</v>
      </c>
    </row>
    <row r="410" spans="1:22" x14ac:dyDescent="0.25">
      <c r="A410" t="str">
        <f t="shared" si="53"/>
        <v>10807</v>
      </c>
      <c r="B410" t="s">
        <v>1408</v>
      </c>
      <c r="C410" t="s">
        <v>1616</v>
      </c>
      <c r="D410" t="s">
        <v>1650</v>
      </c>
      <c r="E410" t="s">
        <v>25</v>
      </c>
      <c r="F410" t="s">
        <v>26</v>
      </c>
      <c r="G410" t="str">
        <f t="shared" si="54"/>
        <v>37</v>
      </c>
      <c r="H410" t="str">
        <f t="shared" si="55"/>
        <v>11</v>
      </c>
      <c r="I410" t="s">
        <v>27</v>
      </c>
      <c r="J410">
        <v>60</v>
      </c>
      <c r="K410">
        <v>60</v>
      </c>
      <c r="L410" t="s">
        <v>28</v>
      </c>
      <c r="M410" t="s">
        <v>1651</v>
      </c>
      <c r="N410">
        <v>1</v>
      </c>
      <c r="O410" t="str">
        <f t="shared" si="56"/>
        <v>722</v>
      </c>
      <c r="P410" t="s">
        <v>1643</v>
      </c>
      <c r="Q410" t="s">
        <v>27</v>
      </c>
      <c r="R410" t="s">
        <v>31</v>
      </c>
      <c r="S410" t="s">
        <v>28</v>
      </c>
      <c r="T410" t="str">
        <f>"20393518"</f>
        <v>20393518</v>
      </c>
      <c r="U410" t="s">
        <v>1652</v>
      </c>
      <c r="V410" t="s">
        <v>1653</v>
      </c>
    </row>
    <row r="411" spans="1:22" x14ac:dyDescent="0.25">
      <c r="A411" t="str">
        <f t="shared" si="53"/>
        <v>10807</v>
      </c>
      <c r="B411" t="s">
        <v>1408</v>
      </c>
      <c r="C411" t="s">
        <v>1616</v>
      </c>
      <c r="D411" t="s">
        <v>1654</v>
      </c>
      <c r="E411" t="s">
        <v>25</v>
      </c>
      <c r="F411" t="s">
        <v>26</v>
      </c>
      <c r="G411" t="str">
        <f t="shared" si="54"/>
        <v>37</v>
      </c>
      <c r="H411" t="str">
        <f t="shared" si="55"/>
        <v>11</v>
      </c>
      <c r="I411" t="s">
        <v>1246</v>
      </c>
      <c r="J411">
        <v>15</v>
      </c>
      <c r="K411">
        <v>15</v>
      </c>
      <c r="L411" t="s">
        <v>28</v>
      </c>
      <c r="M411" t="s">
        <v>1655</v>
      </c>
      <c r="N411">
        <v>1</v>
      </c>
      <c r="O411" t="str">
        <f>"723"</f>
        <v>723</v>
      </c>
      <c r="P411" t="s">
        <v>1656</v>
      </c>
      <c r="Q411" t="s">
        <v>1246</v>
      </c>
      <c r="R411" t="s">
        <v>31</v>
      </c>
      <c r="S411" t="s">
        <v>28</v>
      </c>
      <c r="T411" t="str">
        <f>"56611572"</f>
        <v>56611572</v>
      </c>
      <c r="U411" t="s">
        <v>1657</v>
      </c>
      <c r="V411" t="s">
        <v>1658</v>
      </c>
    </row>
    <row r="412" spans="1:22" x14ac:dyDescent="0.25">
      <c r="A412" t="str">
        <f t="shared" si="53"/>
        <v>10807</v>
      </c>
      <c r="B412" t="s">
        <v>1408</v>
      </c>
      <c r="C412" t="s">
        <v>1616</v>
      </c>
      <c r="D412" t="s">
        <v>1659</v>
      </c>
      <c r="E412" t="s">
        <v>25</v>
      </c>
      <c r="F412" t="s">
        <v>26</v>
      </c>
      <c r="G412" t="str">
        <f t="shared" si="54"/>
        <v>37</v>
      </c>
      <c r="H412" t="str">
        <f t="shared" si="55"/>
        <v>11</v>
      </c>
      <c r="I412" t="s">
        <v>37</v>
      </c>
      <c r="J412">
        <v>20</v>
      </c>
      <c r="K412">
        <v>20</v>
      </c>
      <c r="L412" t="s">
        <v>28</v>
      </c>
      <c r="M412" t="s">
        <v>1660</v>
      </c>
      <c r="N412">
        <v>1</v>
      </c>
      <c r="O412" t="str">
        <f>"722"</f>
        <v>722</v>
      </c>
      <c r="P412" t="s">
        <v>1312</v>
      </c>
      <c r="Q412" t="s">
        <v>37</v>
      </c>
      <c r="R412" t="s">
        <v>31</v>
      </c>
      <c r="S412" t="s">
        <v>28</v>
      </c>
      <c r="T412" t="str">
        <f>"20393518"</f>
        <v>20393518</v>
      </c>
      <c r="U412" t="s">
        <v>1652</v>
      </c>
      <c r="V412" t="s">
        <v>1653</v>
      </c>
    </row>
    <row r="413" spans="1:22" x14ac:dyDescent="0.25">
      <c r="A413" t="str">
        <f t="shared" si="53"/>
        <v>10807</v>
      </c>
      <c r="B413" t="s">
        <v>1408</v>
      </c>
      <c r="C413" t="s">
        <v>1616</v>
      </c>
      <c r="D413" t="s">
        <v>1661</v>
      </c>
      <c r="E413" t="s">
        <v>25</v>
      </c>
      <c r="F413" t="s">
        <v>26</v>
      </c>
      <c r="G413" t="str">
        <f t="shared" si="54"/>
        <v>37</v>
      </c>
      <c r="H413" t="str">
        <f>"12"</f>
        <v>12</v>
      </c>
      <c r="I413" t="s">
        <v>1246</v>
      </c>
      <c r="J413">
        <v>50</v>
      </c>
      <c r="K413">
        <v>50</v>
      </c>
      <c r="L413" t="s">
        <v>28</v>
      </c>
      <c r="M413" t="s">
        <v>1662</v>
      </c>
      <c r="N413">
        <v>1</v>
      </c>
      <c r="O413" t="str">
        <f>"723"</f>
        <v>723</v>
      </c>
      <c r="P413" t="s">
        <v>1656</v>
      </c>
      <c r="Q413" t="s">
        <v>1246</v>
      </c>
      <c r="R413" t="s">
        <v>31</v>
      </c>
      <c r="S413" t="s">
        <v>28</v>
      </c>
      <c r="T413" t="str">
        <f>"56686138"</f>
        <v>56686138</v>
      </c>
      <c r="U413" t="s">
        <v>1663</v>
      </c>
      <c r="V413" t="s">
        <v>1664</v>
      </c>
    </row>
    <row r="414" spans="1:22" x14ac:dyDescent="0.25">
      <c r="A414" t="str">
        <f t="shared" si="53"/>
        <v>10807</v>
      </c>
      <c r="B414" t="s">
        <v>1408</v>
      </c>
      <c r="C414" t="s">
        <v>1616</v>
      </c>
      <c r="D414" t="s">
        <v>1665</v>
      </c>
      <c r="E414" t="s">
        <v>25</v>
      </c>
      <c r="F414" t="s">
        <v>26</v>
      </c>
      <c r="G414" t="str">
        <f t="shared" si="54"/>
        <v>37</v>
      </c>
      <c r="H414" t="str">
        <f t="shared" ref="H414:H421" si="57">"11"</f>
        <v>11</v>
      </c>
      <c r="I414" t="s">
        <v>37</v>
      </c>
      <c r="J414">
        <v>20</v>
      </c>
      <c r="K414">
        <v>20</v>
      </c>
      <c r="L414" t="s">
        <v>28</v>
      </c>
      <c r="M414" t="s">
        <v>1666</v>
      </c>
      <c r="N414">
        <v>1</v>
      </c>
      <c r="O414" t="str">
        <f>"722"</f>
        <v>722</v>
      </c>
      <c r="P414" t="s">
        <v>1312</v>
      </c>
      <c r="Q414" t="s">
        <v>37</v>
      </c>
      <c r="R414" t="s">
        <v>31</v>
      </c>
      <c r="S414" t="s">
        <v>28</v>
      </c>
      <c r="T414" t="str">
        <f>"26862571"</f>
        <v>26862571</v>
      </c>
      <c r="U414" t="s">
        <v>1667</v>
      </c>
      <c r="V414" t="s">
        <v>1668</v>
      </c>
    </row>
    <row r="415" spans="1:22" x14ac:dyDescent="0.25">
      <c r="A415" t="str">
        <f t="shared" si="53"/>
        <v>10807</v>
      </c>
      <c r="B415" t="s">
        <v>1408</v>
      </c>
      <c r="C415" t="s">
        <v>1616</v>
      </c>
      <c r="D415" t="s">
        <v>1669</v>
      </c>
      <c r="E415" t="s">
        <v>25</v>
      </c>
      <c r="F415" t="s">
        <v>26</v>
      </c>
      <c r="G415" t="str">
        <f t="shared" si="54"/>
        <v>37</v>
      </c>
      <c r="H415" t="str">
        <f t="shared" si="57"/>
        <v>11</v>
      </c>
      <c r="I415" t="s">
        <v>37</v>
      </c>
      <c r="J415">
        <v>10</v>
      </c>
      <c r="K415">
        <v>10</v>
      </c>
      <c r="L415" t="s">
        <v>28</v>
      </c>
      <c r="M415" t="s">
        <v>1670</v>
      </c>
      <c r="N415">
        <v>1</v>
      </c>
      <c r="O415" t="str">
        <f>"722"</f>
        <v>722</v>
      </c>
      <c r="P415" t="s">
        <v>1312</v>
      </c>
      <c r="Q415" t="s">
        <v>37</v>
      </c>
      <c r="R415" t="s">
        <v>31</v>
      </c>
      <c r="S415" t="s">
        <v>28</v>
      </c>
      <c r="T415" t="str">
        <f>"25286740"</f>
        <v>25286740</v>
      </c>
      <c r="U415" t="s">
        <v>1671</v>
      </c>
      <c r="V415" t="s">
        <v>1672</v>
      </c>
    </row>
    <row r="416" spans="1:22" x14ac:dyDescent="0.25">
      <c r="A416" t="str">
        <f t="shared" si="53"/>
        <v>10807</v>
      </c>
      <c r="B416" t="s">
        <v>1408</v>
      </c>
      <c r="C416" t="s">
        <v>1616</v>
      </c>
      <c r="D416" t="s">
        <v>1673</v>
      </c>
      <c r="E416" t="s">
        <v>25</v>
      </c>
      <c r="F416" t="s">
        <v>26</v>
      </c>
      <c r="G416" t="str">
        <f t="shared" si="54"/>
        <v>37</v>
      </c>
      <c r="H416" t="str">
        <f t="shared" si="57"/>
        <v>11</v>
      </c>
      <c r="I416" t="s">
        <v>27</v>
      </c>
      <c r="J416">
        <v>10</v>
      </c>
      <c r="K416">
        <v>10</v>
      </c>
      <c r="L416" t="s">
        <v>28</v>
      </c>
      <c r="M416" t="s">
        <v>1674</v>
      </c>
      <c r="N416">
        <v>1</v>
      </c>
      <c r="O416" t="str">
        <f>"722"</f>
        <v>722</v>
      </c>
      <c r="P416" t="s">
        <v>1643</v>
      </c>
      <c r="Q416" t="s">
        <v>27</v>
      </c>
      <c r="R416" t="s">
        <v>31</v>
      </c>
      <c r="S416" t="s">
        <v>28</v>
      </c>
      <c r="T416" t="str">
        <f>"25325477"</f>
        <v>25325477</v>
      </c>
      <c r="U416" t="s">
        <v>1675</v>
      </c>
      <c r="V416" t="s">
        <v>1676</v>
      </c>
    </row>
    <row r="417" spans="1:22" x14ac:dyDescent="0.25">
      <c r="A417" t="str">
        <f t="shared" si="53"/>
        <v>10807</v>
      </c>
      <c r="B417" t="s">
        <v>1408</v>
      </c>
      <c r="C417" t="s">
        <v>1616</v>
      </c>
      <c r="D417" t="s">
        <v>1677</v>
      </c>
      <c r="E417" t="s">
        <v>25</v>
      </c>
      <c r="F417" t="s">
        <v>26</v>
      </c>
      <c r="G417" t="str">
        <f t="shared" si="54"/>
        <v>37</v>
      </c>
      <c r="H417" t="str">
        <f t="shared" si="57"/>
        <v>11</v>
      </c>
      <c r="I417" t="s">
        <v>37</v>
      </c>
      <c r="J417">
        <v>30</v>
      </c>
      <c r="K417">
        <v>30</v>
      </c>
      <c r="L417" t="s">
        <v>28</v>
      </c>
      <c r="M417" t="s">
        <v>1678</v>
      </c>
      <c r="N417">
        <v>1</v>
      </c>
      <c r="O417" t="str">
        <f>"723"</f>
        <v>723</v>
      </c>
      <c r="P417" t="s">
        <v>1312</v>
      </c>
      <c r="Q417" t="s">
        <v>37</v>
      </c>
      <c r="R417" t="s">
        <v>31</v>
      </c>
      <c r="S417" t="s">
        <v>28</v>
      </c>
      <c r="T417" t="str">
        <f>"56505903"</f>
        <v>56505903</v>
      </c>
      <c r="U417" t="s">
        <v>1450</v>
      </c>
      <c r="V417" t="s">
        <v>1451</v>
      </c>
    </row>
    <row r="418" spans="1:22" x14ac:dyDescent="0.25">
      <c r="A418" t="str">
        <f t="shared" si="53"/>
        <v>10807</v>
      </c>
      <c r="B418" t="s">
        <v>1408</v>
      </c>
      <c r="C418" t="s">
        <v>1616</v>
      </c>
      <c r="D418" t="s">
        <v>1679</v>
      </c>
      <c r="E418" t="s">
        <v>25</v>
      </c>
      <c r="F418" t="s">
        <v>26</v>
      </c>
      <c r="G418" t="str">
        <f t="shared" si="54"/>
        <v>37</v>
      </c>
      <c r="H418" t="str">
        <f t="shared" si="57"/>
        <v>11</v>
      </c>
      <c r="I418" t="s">
        <v>37</v>
      </c>
      <c r="J418">
        <v>25.324999999999999</v>
      </c>
      <c r="K418">
        <v>25.324999999999999</v>
      </c>
      <c r="L418" t="s">
        <v>28</v>
      </c>
      <c r="M418" t="s">
        <v>1680</v>
      </c>
      <c r="N418">
        <v>1</v>
      </c>
      <c r="O418" t="str">
        <f>"722"</f>
        <v>722</v>
      </c>
      <c r="P418" t="s">
        <v>1312</v>
      </c>
      <c r="Q418" t="s">
        <v>37</v>
      </c>
      <c r="R418" t="s">
        <v>31</v>
      </c>
      <c r="S418" t="s">
        <v>28</v>
      </c>
      <c r="T418" t="str">
        <f>"39855454"</f>
        <v>39855454</v>
      </c>
      <c r="U418" t="s">
        <v>1681</v>
      </c>
      <c r="V418" t="s">
        <v>1682</v>
      </c>
    </row>
    <row r="419" spans="1:22" x14ac:dyDescent="0.25">
      <c r="A419" t="str">
        <f t="shared" si="53"/>
        <v>10807</v>
      </c>
      <c r="B419" t="s">
        <v>1683</v>
      </c>
      <c r="C419" t="s">
        <v>1684</v>
      </c>
      <c r="D419" t="s">
        <v>1685</v>
      </c>
      <c r="E419" t="s">
        <v>25</v>
      </c>
      <c r="F419" t="s">
        <v>26</v>
      </c>
      <c r="G419" t="str">
        <f t="shared" si="54"/>
        <v>37</v>
      </c>
      <c r="H419" t="str">
        <f t="shared" si="57"/>
        <v>11</v>
      </c>
      <c r="I419" t="s">
        <v>37</v>
      </c>
      <c r="J419">
        <v>30</v>
      </c>
      <c r="K419">
        <v>30</v>
      </c>
      <c r="L419" t="s">
        <v>28</v>
      </c>
      <c r="M419" t="s">
        <v>1686</v>
      </c>
      <c r="N419">
        <v>1</v>
      </c>
      <c r="O419" t="str">
        <f>"722"</f>
        <v>722</v>
      </c>
      <c r="P419" t="s">
        <v>1687</v>
      </c>
      <c r="Q419" t="s">
        <v>1688</v>
      </c>
      <c r="R419" t="s">
        <v>31</v>
      </c>
      <c r="S419" t="s">
        <v>294</v>
      </c>
      <c r="T419" t="str">
        <f>"45778770"</f>
        <v>45778770</v>
      </c>
      <c r="U419" t="s">
        <v>1689</v>
      </c>
      <c r="V419" t="s">
        <v>1690</v>
      </c>
    </row>
    <row r="420" spans="1:22" x14ac:dyDescent="0.25">
      <c r="A420" t="str">
        <f t="shared" si="53"/>
        <v>10807</v>
      </c>
      <c r="B420" t="s">
        <v>1683</v>
      </c>
      <c r="C420" t="s">
        <v>1684</v>
      </c>
      <c r="D420" t="s">
        <v>1691</v>
      </c>
      <c r="E420" t="s">
        <v>25</v>
      </c>
      <c r="F420" t="s">
        <v>26</v>
      </c>
      <c r="G420" t="str">
        <f t="shared" si="54"/>
        <v>37</v>
      </c>
      <c r="H420" t="str">
        <f t="shared" si="57"/>
        <v>11</v>
      </c>
      <c r="I420" t="s">
        <v>37</v>
      </c>
      <c r="J420">
        <v>20</v>
      </c>
      <c r="K420">
        <v>20</v>
      </c>
      <c r="L420" t="s">
        <v>28</v>
      </c>
      <c r="M420" t="s">
        <v>1692</v>
      </c>
      <c r="N420">
        <v>1</v>
      </c>
      <c r="O420" t="str">
        <f>"722"</f>
        <v>722</v>
      </c>
      <c r="P420" t="s">
        <v>1687</v>
      </c>
      <c r="Q420" t="s">
        <v>1688</v>
      </c>
      <c r="R420" t="s">
        <v>31</v>
      </c>
      <c r="S420" t="s">
        <v>294</v>
      </c>
      <c r="T420" t="str">
        <f>"26875631"</f>
        <v>26875631</v>
      </c>
      <c r="U420" t="s">
        <v>1693</v>
      </c>
      <c r="V420" t="s">
        <v>1694</v>
      </c>
    </row>
    <row r="421" spans="1:22" x14ac:dyDescent="0.25">
      <c r="A421" t="str">
        <f t="shared" si="53"/>
        <v>10807</v>
      </c>
      <c r="B421" t="s">
        <v>1683</v>
      </c>
      <c r="C421" t="s">
        <v>1684</v>
      </c>
      <c r="D421" t="s">
        <v>1695</v>
      </c>
      <c r="E421" t="s">
        <v>25</v>
      </c>
      <c r="F421" t="s">
        <v>26</v>
      </c>
      <c r="G421" t="str">
        <f t="shared" ref="G421:G452" si="58">"37"</f>
        <v>37</v>
      </c>
      <c r="H421" t="str">
        <f t="shared" si="57"/>
        <v>11</v>
      </c>
      <c r="I421" t="s">
        <v>37</v>
      </c>
      <c r="J421">
        <v>20</v>
      </c>
      <c r="K421">
        <v>20</v>
      </c>
      <c r="L421" t="s">
        <v>28</v>
      </c>
      <c r="M421" t="s">
        <v>1696</v>
      </c>
      <c r="N421">
        <v>1</v>
      </c>
      <c r="O421" t="str">
        <f>"722"</f>
        <v>722</v>
      </c>
      <c r="P421" t="s">
        <v>1687</v>
      </c>
      <c r="Q421" t="s">
        <v>1688</v>
      </c>
      <c r="R421" t="s">
        <v>31</v>
      </c>
      <c r="S421" t="s">
        <v>294</v>
      </c>
      <c r="T421" t="str">
        <f>"14304588"</f>
        <v>14304588</v>
      </c>
      <c r="U421" t="s">
        <v>1697</v>
      </c>
      <c r="V421" t="s">
        <v>1698</v>
      </c>
    </row>
    <row r="422" spans="1:22" x14ac:dyDescent="0.25">
      <c r="A422" t="str">
        <f t="shared" si="53"/>
        <v>10807</v>
      </c>
      <c r="B422" t="s">
        <v>1699</v>
      </c>
      <c r="C422" t="s">
        <v>1700</v>
      </c>
      <c r="D422" t="s">
        <v>1701</v>
      </c>
      <c r="E422" t="s">
        <v>1272</v>
      </c>
      <c r="F422" t="s">
        <v>1273</v>
      </c>
      <c r="G422" t="str">
        <f t="shared" si="58"/>
        <v>37</v>
      </c>
      <c r="I422" t="s">
        <v>1027</v>
      </c>
      <c r="J422">
        <v>20</v>
      </c>
      <c r="K422">
        <v>20</v>
      </c>
      <c r="L422" t="s">
        <v>28</v>
      </c>
      <c r="M422" t="s">
        <v>1702</v>
      </c>
      <c r="N422">
        <v>1</v>
      </c>
      <c r="O422" t="str">
        <f t="shared" ref="O422:O430" si="59">"721"</f>
        <v>721</v>
      </c>
      <c r="P422" t="s">
        <v>1029</v>
      </c>
      <c r="Q422" t="s">
        <v>1027</v>
      </c>
      <c r="R422" t="s">
        <v>31</v>
      </c>
      <c r="S422" t="s">
        <v>28</v>
      </c>
      <c r="U422" t="s">
        <v>1274</v>
      </c>
      <c r="V422" t="s">
        <v>1097</v>
      </c>
    </row>
    <row r="423" spans="1:22" x14ac:dyDescent="0.25">
      <c r="A423" t="str">
        <f t="shared" si="53"/>
        <v>10807</v>
      </c>
      <c r="B423" t="s">
        <v>1699</v>
      </c>
      <c r="C423" t="s">
        <v>1700</v>
      </c>
      <c r="D423" t="s">
        <v>1703</v>
      </c>
      <c r="E423" t="s">
        <v>1272</v>
      </c>
      <c r="F423" t="s">
        <v>1273</v>
      </c>
      <c r="G423" t="str">
        <f t="shared" si="58"/>
        <v>37</v>
      </c>
      <c r="I423" t="s">
        <v>1027</v>
      </c>
      <c r="J423">
        <v>20</v>
      </c>
      <c r="K423">
        <v>20</v>
      </c>
      <c r="L423" t="s">
        <v>28</v>
      </c>
      <c r="M423" t="s">
        <v>1704</v>
      </c>
      <c r="N423">
        <v>1</v>
      </c>
      <c r="O423" t="str">
        <f t="shared" si="59"/>
        <v>721</v>
      </c>
      <c r="P423" t="s">
        <v>1029</v>
      </c>
      <c r="Q423" t="s">
        <v>1027</v>
      </c>
      <c r="R423" t="s">
        <v>31</v>
      </c>
      <c r="S423" t="s">
        <v>28</v>
      </c>
      <c r="U423" t="s">
        <v>1274</v>
      </c>
      <c r="V423" t="s">
        <v>1097</v>
      </c>
    </row>
    <row r="424" spans="1:22" x14ac:dyDescent="0.25">
      <c r="A424" t="str">
        <f t="shared" si="53"/>
        <v>10807</v>
      </c>
      <c r="B424" t="s">
        <v>1699</v>
      </c>
      <c r="C424" t="s">
        <v>1700</v>
      </c>
      <c r="D424" t="s">
        <v>1705</v>
      </c>
      <c r="E424" t="s">
        <v>1272</v>
      </c>
      <c r="F424" t="s">
        <v>1273</v>
      </c>
      <c r="G424" t="str">
        <f t="shared" si="58"/>
        <v>37</v>
      </c>
      <c r="I424" t="s">
        <v>1027</v>
      </c>
      <c r="J424">
        <v>10</v>
      </c>
      <c r="K424">
        <v>10</v>
      </c>
      <c r="L424" t="s">
        <v>28</v>
      </c>
      <c r="M424" t="s">
        <v>1706</v>
      </c>
      <c r="N424">
        <v>1</v>
      </c>
      <c r="O424" t="str">
        <f t="shared" si="59"/>
        <v>721</v>
      </c>
      <c r="P424" t="s">
        <v>1029</v>
      </c>
      <c r="Q424" t="s">
        <v>1027</v>
      </c>
      <c r="R424" t="s">
        <v>31</v>
      </c>
      <c r="S424" t="s">
        <v>28</v>
      </c>
      <c r="U424" t="s">
        <v>1274</v>
      </c>
      <c r="V424" t="s">
        <v>1097</v>
      </c>
    </row>
    <row r="425" spans="1:22" x14ac:dyDescent="0.25">
      <c r="A425" t="str">
        <f t="shared" si="53"/>
        <v>10807</v>
      </c>
      <c r="B425" t="s">
        <v>1699</v>
      </c>
      <c r="C425" t="s">
        <v>1700</v>
      </c>
      <c r="D425" t="s">
        <v>1707</v>
      </c>
      <c r="E425" t="s">
        <v>1272</v>
      </c>
      <c r="F425" t="s">
        <v>1273</v>
      </c>
      <c r="G425" t="str">
        <f t="shared" si="58"/>
        <v>37</v>
      </c>
      <c r="I425" t="s">
        <v>1027</v>
      </c>
      <c r="J425">
        <v>20</v>
      </c>
      <c r="K425">
        <v>20</v>
      </c>
      <c r="L425" t="s">
        <v>28</v>
      </c>
      <c r="M425" t="s">
        <v>1708</v>
      </c>
      <c r="N425">
        <v>1</v>
      </c>
      <c r="O425" t="str">
        <f t="shared" si="59"/>
        <v>721</v>
      </c>
      <c r="P425" t="s">
        <v>1029</v>
      </c>
      <c r="Q425" t="s">
        <v>1027</v>
      </c>
      <c r="R425" t="s">
        <v>31</v>
      </c>
      <c r="S425" t="s">
        <v>28</v>
      </c>
      <c r="U425" t="s">
        <v>1274</v>
      </c>
      <c r="V425" t="s">
        <v>1097</v>
      </c>
    </row>
    <row r="426" spans="1:22" x14ac:dyDescent="0.25">
      <c r="A426" t="str">
        <f t="shared" si="53"/>
        <v>10807</v>
      </c>
      <c r="B426" t="s">
        <v>1699</v>
      </c>
      <c r="C426" t="s">
        <v>1700</v>
      </c>
      <c r="D426" t="s">
        <v>1709</v>
      </c>
      <c r="E426" t="s">
        <v>1272</v>
      </c>
      <c r="F426" t="s">
        <v>1273</v>
      </c>
      <c r="G426" t="str">
        <f t="shared" si="58"/>
        <v>37</v>
      </c>
      <c r="I426" t="s">
        <v>1027</v>
      </c>
      <c r="J426">
        <v>10</v>
      </c>
      <c r="K426">
        <v>10</v>
      </c>
      <c r="L426" t="s">
        <v>28</v>
      </c>
      <c r="M426" t="s">
        <v>1710</v>
      </c>
      <c r="N426">
        <v>1</v>
      </c>
      <c r="O426" t="str">
        <f t="shared" si="59"/>
        <v>721</v>
      </c>
      <c r="P426" t="s">
        <v>1029</v>
      </c>
      <c r="Q426" t="s">
        <v>1027</v>
      </c>
      <c r="R426" t="s">
        <v>31</v>
      </c>
      <c r="S426" t="s">
        <v>28</v>
      </c>
      <c r="U426" t="s">
        <v>1274</v>
      </c>
      <c r="V426" t="s">
        <v>1097</v>
      </c>
    </row>
    <row r="427" spans="1:22" x14ac:dyDescent="0.25">
      <c r="A427" t="str">
        <f t="shared" si="53"/>
        <v>10807</v>
      </c>
      <c r="B427" t="s">
        <v>1699</v>
      </c>
      <c r="C427" t="s">
        <v>1700</v>
      </c>
      <c r="D427" t="s">
        <v>1711</v>
      </c>
      <c r="E427" t="s">
        <v>1272</v>
      </c>
      <c r="F427" t="s">
        <v>1273</v>
      </c>
      <c r="G427" t="str">
        <f t="shared" si="58"/>
        <v>37</v>
      </c>
      <c r="I427" t="s">
        <v>1027</v>
      </c>
      <c r="J427">
        <v>20</v>
      </c>
      <c r="K427">
        <v>20</v>
      </c>
      <c r="L427" t="s">
        <v>28</v>
      </c>
      <c r="M427" t="s">
        <v>1712</v>
      </c>
      <c r="N427">
        <v>1</v>
      </c>
      <c r="O427" t="str">
        <f t="shared" si="59"/>
        <v>721</v>
      </c>
      <c r="P427" t="s">
        <v>1029</v>
      </c>
      <c r="Q427" t="s">
        <v>1027</v>
      </c>
      <c r="R427" t="s">
        <v>31</v>
      </c>
      <c r="S427" t="s">
        <v>28</v>
      </c>
      <c r="U427" t="s">
        <v>1274</v>
      </c>
      <c r="V427" t="s">
        <v>1097</v>
      </c>
    </row>
    <row r="428" spans="1:22" x14ac:dyDescent="0.25">
      <c r="A428" t="str">
        <f t="shared" si="53"/>
        <v>10807</v>
      </c>
      <c r="B428" t="s">
        <v>1699</v>
      </c>
      <c r="C428" t="s">
        <v>1700</v>
      </c>
      <c r="D428" t="s">
        <v>1713</v>
      </c>
      <c r="E428" t="s">
        <v>1272</v>
      </c>
      <c r="F428" t="s">
        <v>1273</v>
      </c>
      <c r="G428" t="str">
        <f t="shared" si="58"/>
        <v>37</v>
      </c>
      <c r="I428" t="s">
        <v>1027</v>
      </c>
      <c r="J428">
        <v>20</v>
      </c>
      <c r="K428">
        <v>20</v>
      </c>
      <c r="L428" t="s">
        <v>28</v>
      </c>
      <c r="M428" t="s">
        <v>1714</v>
      </c>
      <c r="N428">
        <v>1</v>
      </c>
      <c r="O428" t="str">
        <f t="shared" si="59"/>
        <v>721</v>
      </c>
      <c r="P428" t="s">
        <v>1029</v>
      </c>
      <c r="Q428" t="s">
        <v>1027</v>
      </c>
      <c r="R428" t="s">
        <v>31</v>
      </c>
      <c r="S428" t="s">
        <v>28</v>
      </c>
      <c r="U428" t="s">
        <v>1274</v>
      </c>
      <c r="V428" t="s">
        <v>1097</v>
      </c>
    </row>
    <row r="429" spans="1:22" x14ac:dyDescent="0.25">
      <c r="A429" t="str">
        <f t="shared" si="53"/>
        <v>10807</v>
      </c>
      <c r="B429" t="s">
        <v>1699</v>
      </c>
      <c r="C429" t="s">
        <v>1700</v>
      </c>
      <c r="D429" t="s">
        <v>1715</v>
      </c>
      <c r="E429" t="s">
        <v>1272</v>
      </c>
      <c r="F429" t="s">
        <v>1273</v>
      </c>
      <c r="G429" t="str">
        <f t="shared" si="58"/>
        <v>37</v>
      </c>
      <c r="I429" t="s">
        <v>1027</v>
      </c>
      <c r="J429">
        <v>20</v>
      </c>
      <c r="K429">
        <v>20</v>
      </c>
      <c r="L429" t="s">
        <v>28</v>
      </c>
      <c r="M429" t="s">
        <v>1716</v>
      </c>
      <c r="N429">
        <v>1</v>
      </c>
      <c r="O429" t="str">
        <f t="shared" si="59"/>
        <v>721</v>
      </c>
      <c r="P429" t="s">
        <v>1029</v>
      </c>
      <c r="Q429" t="s">
        <v>1027</v>
      </c>
      <c r="R429" t="s">
        <v>31</v>
      </c>
      <c r="S429" t="s">
        <v>28</v>
      </c>
      <c r="U429" t="s">
        <v>1274</v>
      </c>
      <c r="V429" t="s">
        <v>1097</v>
      </c>
    </row>
    <row r="430" spans="1:22" x14ac:dyDescent="0.25">
      <c r="A430" t="str">
        <f t="shared" si="53"/>
        <v>10807</v>
      </c>
      <c r="B430" t="s">
        <v>1699</v>
      </c>
      <c r="C430" t="s">
        <v>1700</v>
      </c>
      <c r="D430" t="s">
        <v>1717</v>
      </c>
      <c r="E430" t="s">
        <v>1272</v>
      </c>
      <c r="F430" t="s">
        <v>1273</v>
      </c>
      <c r="G430" t="str">
        <f t="shared" si="58"/>
        <v>37</v>
      </c>
      <c r="I430" t="s">
        <v>1027</v>
      </c>
      <c r="J430">
        <v>20</v>
      </c>
      <c r="K430">
        <v>20</v>
      </c>
      <c r="L430" t="s">
        <v>28</v>
      </c>
      <c r="M430" t="s">
        <v>1718</v>
      </c>
      <c r="N430">
        <v>1</v>
      </c>
      <c r="O430" t="str">
        <f t="shared" si="59"/>
        <v>721</v>
      </c>
      <c r="P430" t="s">
        <v>1029</v>
      </c>
      <c r="Q430" t="s">
        <v>1027</v>
      </c>
      <c r="R430" t="s">
        <v>31</v>
      </c>
      <c r="S430" t="s">
        <v>28</v>
      </c>
      <c r="U430" t="s">
        <v>1274</v>
      </c>
      <c r="V430" t="s">
        <v>1097</v>
      </c>
    </row>
    <row r="431" spans="1:22" x14ac:dyDescent="0.25">
      <c r="A431" t="str">
        <f t="shared" si="53"/>
        <v>10807</v>
      </c>
      <c r="B431" t="s">
        <v>1699</v>
      </c>
      <c r="C431" t="s">
        <v>1700</v>
      </c>
      <c r="D431" t="s">
        <v>1719</v>
      </c>
      <c r="E431" t="s">
        <v>25</v>
      </c>
      <c r="F431" t="s">
        <v>26</v>
      </c>
      <c r="G431" t="str">
        <f t="shared" si="58"/>
        <v>37</v>
      </c>
      <c r="H431" t="str">
        <f t="shared" ref="H431:H462" si="60">"11"</f>
        <v>11</v>
      </c>
      <c r="I431" t="s">
        <v>37</v>
      </c>
      <c r="J431">
        <v>50</v>
      </c>
      <c r="K431">
        <v>0</v>
      </c>
      <c r="L431" t="s">
        <v>28</v>
      </c>
      <c r="M431" t="s">
        <v>1720</v>
      </c>
      <c r="N431">
        <v>1</v>
      </c>
      <c r="O431" t="str">
        <f>"722"</f>
        <v>722</v>
      </c>
      <c r="P431" t="s">
        <v>1721</v>
      </c>
      <c r="Q431" t="s">
        <v>37</v>
      </c>
      <c r="R431" t="s">
        <v>31</v>
      </c>
      <c r="S431" t="s">
        <v>28</v>
      </c>
      <c r="T431" t="str">
        <f>"62994197"</f>
        <v>62994197</v>
      </c>
      <c r="U431" t="s">
        <v>1722</v>
      </c>
      <c r="V431" t="s">
        <v>1723</v>
      </c>
    </row>
    <row r="432" spans="1:22" x14ac:dyDescent="0.25">
      <c r="A432" t="str">
        <f t="shared" si="53"/>
        <v>10807</v>
      </c>
      <c r="B432" t="s">
        <v>1699</v>
      </c>
      <c r="C432" t="s">
        <v>1700</v>
      </c>
      <c r="D432" t="s">
        <v>1724</v>
      </c>
      <c r="E432" t="s">
        <v>25</v>
      </c>
      <c r="F432" t="s">
        <v>26</v>
      </c>
      <c r="G432" t="str">
        <f t="shared" si="58"/>
        <v>37</v>
      </c>
      <c r="H432" t="str">
        <f t="shared" si="60"/>
        <v>11</v>
      </c>
      <c r="I432" t="s">
        <v>27</v>
      </c>
      <c r="J432">
        <v>40</v>
      </c>
      <c r="K432">
        <v>0</v>
      </c>
      <c r="L432" t="s">
        <v>28</v>
      </c>
      <c r="M432" t="s">
        <v>1725</v>
      </c>
      <c r="N432">
        <v>1</v>
      </c>
      <c r="O432" t="str">
        <f>"722"</f>
        <v>722</v>
      </c>
      <c r="P432" t="s">
        <v>1726</v>
      </c>
      <c r="Q432" t="s">
        <v>27</v>
      </c>
      <c r="R432" t="s">
        <v>31</v>
      </c>
      <c r="S432" t="s">
        <v>28</v>
      </c>
      <c r="T432" t="str">
        <f>"14296216"</f>
        <v>14296216</v>
      </c>
      <c r="U432" t="s">
        <v>1727</v>
      </c>
      <c r="V432" t="s">
        <v>1728</v>
      </c>
    </row>
    <row r="433" spans="1:22" x14ac:dyDescent="0.25">
      <c r="A433" t="str">
        <f t="shared" si="53"/>
        <v>10807</v>
      </c>
      <c r="B433" t="s">
        <v>1699</v>
      </c>
      <c r="C433" t="s">
        <v>1700</v>
      </c>
      <c r="D433" t="s">
        <v>1729</v>
      </c>
      <c r="E433" t="s">
        <v>25</v>
      </c>
      <c r="F433" t="s">
        <v>26</v>
      </c>
      <c r="G433" t="str">
        <f t="shared" si="58"/>
        <v>37</v>
      </c>
      <c r="H433" t="str">
        <f t="shared" si="60"/>
        <v>11</v>
      </c>
      <c r="I433" t="s">
        <v>37</v>
      </c>
      <c r="J433">
        <v>20</v>
      </c>
      <c r="K433">
        <v>0</v>
      </c>
      <c r="L433" t="s">
        <v>28</v>
      </c>
      <c r="M433" t="s">
        <v>1730</v>
      </c>
      <c r="N433">
        <v>1</v>
      </c>
      <c r="O433" t="str">
        <f>"722"</f>
        <v>722</v>
      </c>
      <c r="P433" t="s">
        <v>1731</v>
      </c>
      <c r="Q433" t="s">
        <v>37</v>
      </c>
      <c r="R433" t="s">
        <v>31</v>
      </c>
      <c r="S433" t="s">
        <v>28</v>
      </c>
      <c r="T433" t="str">
        <f>"09045886"</f>
        <v>09045886</v>
      </c>
      <c r="U433" t="s">
        <v>1732</v>
      </c>
      <c r="V433" t="s">
        <v>1733</v>
      </c>
    </row>
    <row r="434" spans="1:22" x14ac:dyDescent="0.25">
      <c r="A434" t="str">
        <f t="shared" si="53"/>
        <v>10807</v>
      </c>
      <c r="B434" t="s">
        <v>1699</v>
      </c>
      <c r="C434" t="s">
        <v>1700</v>
      </c>
      <c r="D434" t="s">
        <v>1734</v>
      </c>
      <c r="E434" t="s">
        <v>25</v>
      </c>
      <c r="F434" t="s">
        <v>26</v>
      </c>
      <c r="G434" t="str">
        <f t="shared" si="58"/>
        <v>37</v>
      </c>
      <c r="H434" t="str">
        <f t="shared" si="60"/>
        <v>11</v>
      </c>
      <c r="I434" t="s">
        <v>1735</v>
      </c>
      <c r="J434">
        <v>30</v>
      </c>
      <c r="K434">
        <v>0</v>
      </c>
      <c r="L434" t="s">
        <v>28</v>
      </c>
      <c r="M434" t="s">
        <v>1736</v>
      </c>
      <c r="N434">
        <v>1</v>
      </c>
      <c r="O434" t="str">
        <f>"723"</f>
        <v>723</v>
      </c>
      <c r="P434" t="s">
        <v>1737</v>
      </c>
      <c r="Q434" t="s">
        <v>1735</v>
      </c>
      <c r="R434" t="s">
        <v>31</v>
      </c>
      <c r="S434" t="s">
        <v>28</v>
      </c>
      <c r="T434" t="str">
        <f>"88501423"</f>
        <v>88501423</v>
      </c>
      <c r="U434" t="s">
        <v>1738</v>
      </c>
      <c r="V434" t="s">
        <v>1739</v>
      </c>
    </row>
    <row r="435" spans="1:22" x14ac:dyDescent="0.25">
      <c r="A435" t="str">
        <f t="shared" si="53"/>
        <v>10807</v>
      </c>
      <c r="B435" t="s">
        <v>1699</v>
      </c>
      <c r="C435" t="s">
        <v>1700</v>
      </c>
      <c r="D435" t="s">
        <v>1740</v>
      </c>
      <c r="E435" t="s">
        <v>25</v>
      </c>
      <c r="F435" t="s">
        <v>26</v>
      </c>
      <c r="G435" t="str">
        <f t="shared" si="58"/>
        <v>37</v>
      </c>
      <c r="H435" t="str">
        <f t="shared" si="60"/>
        <v>11</v>
      </c>
      <c r="I435" t="s">
        <v>1735</v>
      </c>
      <c r="J435">
        <v>30</v>
      </c>
      <c r="K435">
        <v>0</v>
      </c>
      <c r="L435" t="s">
        <v>28</v>
      </c>
      <c r="M435" t="s">
        <v>1741</v>
      </c>
      <c r="N435">
        <v>1</v>
      </c>
      <c r="O435" t="str">
        <f>"723"</f>
        <v>723</v>
      </c>
      <c r="P435" t="s">
        <v>1742</v>
      </c>
      <c r="Q435" t="s">
        <v>1735</v>
      </c>
      <c r="R435" t="s">
        <v>31</v>
      </c>
      <c r="S435" t="s">
        <v>28</v>
      </c>
      <c r="T435" t="str">
        <f>"85737966"</f>
        <v>85737966</v>
      </c>
      <c r="U435" t="s">
        <v>1743</v>
      </c>
      <c r="V435" t="s">
        <v>1744</v>
      </c>
    </row>
    <row r="436" spans="1:22" x14ac:dyDescent="0.25">
      <c r="A436" t="str">
        <f t="shared" si="53"/>
        <v>10807</v>
      </c>
      <c r="B436" t="s">
        <v>1699</v>
      </c>
      <c r="C436" t="s">
        <v>1700</v>
      </c>
      <c r="D436" t="s">
        <v>1745</v>
      </c>
      <c r="E436" t="s">
        <v>25</v>
      </c>
      <c r="F436" t="s">
        <v>26</v>
      </c>
      <c r="G436" t="str">
        <f t="shared" si="58"/>
        <v>37</v>
      </c>
      <c r="H436" t="str">
        <f t="shared" si="60"/>
        <v>11</v>
      </c>
      <c r="I436" t="s">
        <v>1735</v>
      </c>
      <c r="J436">
        <v>20</v>
      </c>
      <c r="K436">
        <v>0</v>
      </c>
      <c r="L436" t="s">
        <v>28</v>
      </c>
      <c r="M436" t="s">
        <v>1746</v>
      </c>
      <c r="N436">
        <v>1</v>
      </c>
      <c r="O436" t="str">
        <f>"723"</f>
        <v>723</v>
      </c>
      <c r="P436" t="s">
        <v>1747</v>
      </c>
      <c r="Q436" t="s">
        <v>1735</v>
      </c>
      <c r="R436" t="s">
        <v>31</v>
      </c>
      <c r="S436" t="s">
        <v>28</v>
      </c>
      <c r="T436" t="str">
        <f>"20260448"</f>
        <v>20260448</v>
      </c>
      <c r="U436" t="s">
        <v>1748</v>
      </c>
      <c r="V436" t="s">
        <v>1749</v>
      </c>
    </row>
    <row r="437" spans="1:22" x14ac:dyDescent="0.25">
      <c r="A437" t="str">
        <f t="shared" si="53"/>
        <v>10807</v>
      </c>
      <c r="B437" t="s">
        <v>1699</v>
      </c>
      <c r="C437" t="s">
        <v>1700</v>
      </c>
      <c r="D437" t="s">
        <v>1750</v>
      </c>
      <c r="E437" t="s">
        <v>25</v>
      </c>
      <c r="F437" t="s">
        <v>26</v>
      </c>
      <c r="G437" t="str">
        <f t="shared" si="58"/>
        <v>37</v>
      </c>
      <c r="H437" t="str">
        <f t="shared" si="60"/>
        <v>11</v>
      </c>
      <c r="I437" t="s">
        <v>1735</v>
      </c>
      <c r="J437">
        <v>30</v>
      </c>
      <c r="K437">
        <v>0</v>
      </c>
      <c r="L437" t="s">
        <v>28</v>
      </c>
      <c r="M437" t="s">
        <v>1751</v>
      </c>
      <c r="N437">
        <v>1</v>
      </c>
      <c r="O437" t="str">
        <f>"723"</f>
        <v>723</v>
      </c>
      <c r="P437" t="s">
        <v>1752</v>
      </c>
      <c r="Q437" t="s">
        <v>1735</v>
      </c>
      <c r="R437" t="s">
        <v>31</v>
      </c>
      <c r="S437" t="s">
        <v>28</v>
      </c>
      <c r="T437" t="str">
        <f>"78935483"</f>
        <v>78935483</v>
      </c>
      <c r="U437" t="s">
        <v>1753</v>
      </c>
      <c r="V437" t="s">
        <v>1754</v>
      </c>
    </row>
    <row r="438" spans="1:22" x14ac:dyDescent="0.25">
      <c r="A438" t="str">
        <f t="shared" si="53"/>
        <v>10807</v>
      </c>
      <c r="B438" t="s">
        <v>1699</v>
      </c>
      <c r="C438" t="s">
        <v>1700</v>
      </c>
      <c r="D438" t="s">
        <v>1755</v>
      </c>
      <c r="E438" t="s">
        <v>25</v>
      </c>
      <c r="F438" t="s">
        <v>26</v>
      </c>
      <c r="G438" t="str">
        <f t="shared" si="58"/>
        <v>37</v>
      </c>
      <c r="H438" t="str">
        <f t="shared" si="60"/>
        <v>11</v>
      </c>
      <c r="I438" t="s">
        <v>1735</v>
      </c>
      <c r="J438">
        <v>27.782</v>
      </c>
      <c r="K438">
        <v>0</v>
      </c>
      <c r="L438" t="s">
        <v>28</v>
      </c>
      <c r="M438" t="s">
        <v>1756</v>
      </c>
      <c r="N438">
        <v>1</v>
      </c>
      <c r="O438" t="str">
        <f>"723"</f>
        <v>723</v>
      </c>
      <c r="P438" t="s">
        <v>1752</v>
      </c>
      <c r="Q438" t="s">
        <v>1735</v>
      </c>
      <c r="R438" t="s">
        <v>31</v>
      </c>
      <c r="S438" t="s">
        <v>28</v>
      </c>
      <c r="T438" t="str">
        <f>"78935483"</f>
        <v>78935483</v>
      </c>
      <c r="U438" t="s">
        <v>1753</v>
      </c>
      <c r="V438" t="s">
        <v>1754</v>
      </c>
    </row>
    <row r="439" spans="1:22" x14ac:dyDescent="0.25">
      <c r="A439" t="str">
        <f t="shared" si="53"/>
        <v>10807</v>
      </c>
      <c r="B439" t="s">
        <v>1699</v>
      </c>
      <c r="C439" t="s">
        <v>1700</v>
      </c>
      <c r="D439" t="s">
        <v>1757</v>
      </c>
      <c r="E439" t="s">
        <v>25</v>
      </c>
      <c r="F439" t="s">
        <v>26</v>
      </c>
      <c r="G439" t="str">
        <f t="shared" si="58"/>
        <v>37</v>
      </c>
      <c r="H439" t="str">
        <f t="shared" si="60"/>
        <v>11</v>
      </c>
      <c r="I439" t="s">
        <v>1228</v>
      </c>
      <c r="J439">
        <v>20</v>
      </c>
      <c r="K439">
        <v>0</v>
      </c>
      <c r="L439" t="s">
        <v>28</v>
      </c>
      <c r="M439" t="s">
        <v>1758</v>
      </c>
      <c r="N439">
        <v>1</v>
      </c>
      <c r="O439" t="str">
        <f>"722"</f>
        <v>722</v>
      </c>
      <c r="P439" t="s">
        <v>1759</v>
      </c>
      <c r="Q439" t="s">
        <v>1228</v>
      </c>
      <c r="R439" t="s">
        <v>31</v>
      </c>
      <c r="S439" t="s">
        <v>28</v>
      </c>
      <c r="T439" t="str">
        <f>"62981144"</f>
        <v>62981144</v>
      </c>
      <c r="U439" t="s">
        <v>1760</v>
      </c>
      <c r="V439" t="s">
        <v>1761</v>
      </c>
    </row>
    <row r="440" spans="1:22" x14ac:dyDescent="0.25">
      <c r="A440" t="str">
        <f t="shared" si="53"/>
        <v>10807</v>
      </c>
      <c r="B440" t="s">
        <v>1699</v>
      </c>
      <c r="C440" t="s">
        <v>1700</v>
      </c>
      <c r="D440" t="s">
        <v>1762</v>
      </c>
      <c r="E440" t="s">
        <v>25</v>
      </c>
      <c r="F440" t="s">
        <v>26</v>
      </c>
      <c r="G440" t="str">
        <f t="shared" si="58"/>
        <v>37</v>
      </c>
      <c r="H440" t="str">
        <f t="shared" si="60"/>
        <v>11</v>
      </c>
      <c r="I440" t="s">
        <v>27</v>
      </c>
      <c r="J440">
        <v>50</v>
      </c>
      <c r="K440">
        <v>0</v>
      </c>
      <c r="L440" t="s">
        <v>28</v>
      </c>
      <c r="M440" t="s">
        <v>1763</v>
      </c>
      <c r="N440">
        <v>1</v>
      </c>
      <c r="O440" t="str">
        <f>"722"</f>
        <v>722</v>
      </c>
      <c r="P440" t="s">
        <v>1764</v>
      </c>
      <c r="Q440" t="s">
        <v>27</v>
      </c>
      <c r="R440" t="s">
        <v>31</v>
      </c>
      <c r="S440" t="s">
        <v>28</v>
      </c>
      <c r="T440" t="str">
        <f>"78941990"</f>
        <v>78941990</v>
      </c>
      <c r="U440" t="s">
        <v>1765</v>
      </c>
      <c r="V440" t="s">
        <v>1766</v>
      </c>
    </row>
    <row r="441" spans="1:22" x14ac:dyDescent="0.25">
      <c r="A441" t="str">
        <f t="shared" si="53"/>
        <v>10807</v>
      </c>
      <c r="B441" t="s">
        <v>1699</v>
      </c>
      <c r="C441" t="s">
        <v>1700</v>
      </c>
      <c r="D441" t="s">
        <v>1767</v>
      </c>
      <c r="E441" t="s">
        <v>25</v>
      </c>
      <c r="F441" t="s">
        <v>26</v>
      </c>
      <c r="G441" t="str">
        <f t="shared" si="58"/>
        <v>37</v>
      </c>
      <c r="H441" t="str">
        <f t="shared" si="60"/>
        <v>11</v>
      </c>
      <c r="I441" t="s">
        <v>1228</v>
      </c>
      <c r="J441">
        <v>40</v>
      </c>
      <c r="K441">
        <v>0</v>
      </c>
      <c r="L441" t="s">
        <v>28</v>
      </c>
      <c r="M441" t="s">
        <v>1768</v>
      </c>
      <c r="N441">
        <v>1</v>
      </c>
      <c r="O441" t="str">
        <f>"722"</f>
        <v>722</v>
      </c>
      <c r="P441" t="s">
        <v>1769</v>
      </c>
      <c r="Q441" t="s">
        <v>1228</v>
      </c>
      <c r="R441" t="s">
        <v>31</v>
      </c>
      <c r="S441" t="s">
        <v>28</v>
      </c>
      <c r="T441" t="str">
        <f>"78941990"</f>
        <v>78941990</v>
      </c>
      <c r="U441" t="s">
        <v>1765</v>
      </c>
      <c r="V441" t="s">
        <v>1766</v>
      </c>
    </row>
    <row r="442" spans="1:22" x14ac:dyDescent="0.25">
      <c r="A442" t="str">
        <f t="shared" si="53"/>
        <v>10807</v>
      </c>
      <c r="B442" t="s">
        <v>1699</v>
      </c>
      <c r="C442" t="s">
        <v>1700</v>
      </c>
      <c r="D442" t="s">
        <v>1770</v>
      </c>
      <c r="E442" t="s">
        <v>25</v>
      </c>
      <c r="F442" t="s">
        <v>26</v>
      </c>
      <c r="G442" t="str">
        <f t="shared" si="58"/>
        <v>37</v>
      </c>
      <c r="H442" t="str">
        <f t="shared" si="60"/>
        <v>11</v>
      </c>
      <c r="I442" t="s">
        <v>1735</v>
      </c>
      <c r="J442">
        <v>30</v>
      </c>
      <c r="K442">
        <v>0</v>
      </c>
      <c r="L442" t="s">
        <v>28</v>
      </c>
      <c r="M442" t="s">
        <v>1771</v>
      </c>
      <c r="N442">
        <v>1</v>
      </c>
      <c r="O442" t="str">
        <f>"723"</f>
        <v>723</v>
      </c>
      <c r="P442" t="s">
        <v>1772</v>
      </c>
      <c r="Q442" t="s">
        <v>1735</v>
      </c>
      <c r="R442" t="s">
        <v>31</v>
      </c>
      <c r="S442" t="s">
        <v>28</v>
      </c>
      <c r="T442" t="str">
        <f>"78941020"</f>
        <v>78941020</v>
      </c>
      <c r="U442" t="s">
        <v>1773</v>
      </c>
      <c r="V442" t="s">
        <v>1774</v>
      </c>
    </row>
    <row r="443" spans="1:22" x14ac:dyDescent="0.25">
      <c r="A443" t="str">
        <f t="shared" si="53"/>
        <v>10807</v>
      </c>
      <c r="B443" t="s">
        <v>1699</v>
      </c>
      <c r="C443" t="s">
        <v>1700</v>
      </c>
      <c r="D443" t="s">
        <v>1775</v>
      </c>
      <c r="E443" t="s">
        <v>25</v>
      </c>
      <c r="F443" t="s">
        <v>26</v>
      </c>
      <c r="G443" t="str">
        <f t="shared" si="58"/>
        <v>37</v>
      </c>
      <c r="H443" t="str">
        <f t="shared" si="60"/>
        <v>11</v>
      </c>
      <c r="I443" t="s">
        <v>1228</v>
      </c>
      <c r="J443">
        <v>50</v>
      </c>
      <c r="K443">
        <v>0</v>
      </c>
      <c r="L443" t="s">
        <v>28</v>
      </c>
      <c r="M443" t="s">
        <v>1776</v>
      </c>
      <c r="N443">
        <v>1</v>
      </c>
      <c r="O443" t="str">
        <f>"722"</f>
        <v>722</v>
      </c>
      <c r="P443" t="s">
        <v>1777</v>
      </c>
      <c r="Q443" t="s">
        <v>1228</v>
      </c>
      <c r="R443" t="s">
        <v>31</v>
      </c>
      <c r="S443" t="s">
        <v>28</v>
      </c>
      <c r="T443" t="str">
        <f>"88230702"</f>
        <v>88230702</v>
      </c>
      <c r="U443" t="s">
        <v>1778</v>
      </c>
      <c r="V443" t="s">
        <v>1779</v>
      </c>
    </row>
    <row r="444" spans="1:22" x14ac:dyDescent="0.25">
      <c r="A444" t="str">
        <f t="shared" ref="A444:A506" si="61">"10807"</f>
        <v>10807</v>
      </c>
      <c r="B444" t="s">
        <v>1699</v>
      </c>
      <c r="C444" t="s">
        <v>1700</v>
      </c>
      <c r="D444" t="s">
        <v>1780</v>
      </c>
      <c r="E444" t="s">
        <v>25</v>
      </c>
      <c r="F444" t="s">
        <v>26</v>
      </c>
      <c r="G444" t="str">
        <f t="shared" si="58"/>
        <v>37</v>
      </c>
      <c r="H444" t="str">
        <f t="shared" si="60"/>
        <v>11</v>
      </c>
      <c r="I444" t="s">
        <v>1735</v>
      </c>
      <c r="J444">
        <v>20</v>
      </c>
      <c r="K444">
        <v>0</v>
      </c>
      <c r="L444" t="s">
        <v>28</v>
      </c>
      <c r="M444" t="s">
        <v>1781</v>
      </c>
      <c r="N444">
        <v>1</v>
      </c>
      <c r="O444" t="str">
        <f>"723"</f>
        <v>723</v>
      </c>
      <c r="P444" t="s">
        <v>1782</v>
      </c>
      <c r="Q444" t="s">
        <v>1735</v>
      </c>
      <c r="R444" t="s">
        <v>31</v>
      </c>
      <c r="S444" t="s">
        <v>28</v>
      </c>
      <c r="T444" t="str">
        <f>"87898832"</f>
        <v>87898832</v>
      </c>
      <c r="U444" t="s">
        <v>1783</v>
      </c>
      <c r="V444" t="s">
        <v>1784</v>
      </c>
    </row>
    <row r="445" spans="1:22" x14ac:dyDescent="0.25">
      <c r="A445" t="str">
        <f t="shared" si="61"/>
        <v>10807</v>
      </c>
      <c r="B445" t="s">
        <v>1699</v>
      </c>
      <c r="C445" t="s">
        <v>1700</v>
      </c>
      <c r="D445" t="s">
        <v>1785</v>
      </c>
      <c r="E445" t="s">
        <v>25</v>
      </c>
      <c r="F445" t="s">
        <v>26</v>
      </c>
      <c r="G445" t="str">
        <f t="shared" si="58"/>
        <v>37</v>
      </c>
      <c r="H445" t="str">
        <f t="shared" si="60"/>
        <v>11</v>
      </c>
      <c r="I445" t="s">
        <v>1228</v>
      </c>
      <c r="J445">
        <v>50</v>
      </c>
      <c r="K445">
        <v>0</v>
      </c>
      <c r="L445" t="s">
        <v>28</v>
      </c>
      <c r="M445" t="s">
        <v>1786</v>
      </c>
      <c r="N445">
        <v>1</v>
      </c>
      <c r="O445" t="str">
        <f t="shared" ref="O445:O456" si="62">"722"</f>
        <v>722</v>
      </c>
      <c r="P445" t="s">
        <v>1787</v>
      </c>
      <c r="Q445" t="s">
        <v>1228</v>
      </c>
      <c r="R445" t="s">
        <v>31</v>
      </c>
      <c r="S445" t="s">
        <v>28</v>
      </c>
      <c r="T445" t="str">
        <f>"88500402"</f>
        <v>88500402</v>
      </c>
      <c r="U445" t="s">
        <v>1788</v>
      </c>
      <c r="V445" t="s">
        <v>1789</v>
      </c>
    </row>
    <row r="446" spans="1:22" x14ac:dyDescent="0.25">
      <c r="A446" t="str">
        <f t="shared" si="61"/>
        <v>10807</v>
      </c>
      <c r="B446" t="s">
        <v>1699</v>
      </c>
      <c r="C446" t="s">
        <v>1700</v>
      </c>
      <c r="D446" t="s">
        <v>1790</v>
      </c>
      <c r="E446" t="s">
        <v>25</v>
      </c>
      <c r="F446" t="s">
        <v>26</v>
      </c>
      <c r="G446" t="str">
        <f t="shared" si="58"/>
        <v>37</v>
      </c>
      <c r="H446" t="str">
        <f t="shared" si="60"/>
        <v>11</v>
      </c>
      <c r="I446" t="s">
        <v>1337</v>
      </c>
      <c r="J446">
        <v>30</v>
      </c>
      <c r="K446">
        <v>0</v>
      </c>
      <c r="L446" t="s">
        <v>28</v>
      </c>
      <c r="M446" t="s">
        <v>1791</v>
      </c>
      <c r="N446">
        <v>1</v>
      </c>
      <c r="O446" t="str">
        <f t="shared" si="62"/>
        <v>722</v>
      </c>
      <c r="P446" t="s">
        <v>1792</v>
      </c>
      <c r="Q446" t="s">
        <v>1337</v>
      </c>
      <c r="R446" t="s">
        <v>31</v>
      </c>
      <c r="S446" t="s">
        <v>28</v>
      </c>
      <c r="T446" t="str">
        <f>"78935688"</f>
        <v>78935688</v>
      </c>
      <c r="U446" t="s">
        <v>1793</v>
      </c>
      <c r="V446" t="s">
        <v>1794</v>
      </c>
    </row>
    <row r="447" spans="1:22" x14ac:dyDescent="0.25">
      <c r="A447" t="str">
        <f t="shared" si="61"/>
        <v>10807</v>
      </c>
      <c r="B447" t="s">
        <v>1699</v>
      </c>
      <c r="C447" t="s">
        <v>1700</v>
      </c>
      <c r="D447" t="s">
        <v>1795</v>
      </c>
      <c r="E447" t="s">
        <v>25</v>
      </c>
      <c r="F447" t="s">
        <v>26</v>
      </c>
      <c r="G447" t="str">
        <f t="shared" si="58"/>
        <v>37</v>
      </c>
      <c r="H447" t="str">
        <f t="shared" si="60"/>
        <v>11</v>
      </c>
      <c r="I447" t="s">
        <v>1228</v>
      </c>
      <c r="J447">
        <v>50</v>
      </c>
      <c r="K447">
        <v>0</v>
      </c>
      <c r="L447" t="s">
        <v>28</v>
      </c>
      <c r="M447" t="s">
        <v>1796</v>
      </c>
      <c r="N447">
        <v>1</v>
      </c>
      <c r="O447" t="str">
        <f t="shared" si="62"/>
        <v>722</v>
      </c>
      <c r="P447" t="s">
        <v>1797</v>
      </c>
      <c r="Q447" t="s">
        <v>1228</v>
      </c>
      <c r="R447" t="s">
        <v>31</v>
      </c>
      <c r="S447" t="s">
        <v>28</v>
      </c>
      <c r="T447" t="str">
        <f>"78935688"</f>
        <v>78935688</v>
      </c>
      <c r="U447" t="s">
        <v>1793</v>
      </c>
      <c r="V447" t="s">
        <v>1794</v>
      </c>
    </row>
    <row r="448" spans="1:22" x14ac:dyDescent="0.25">
      <c r="A448" t="str">
        <f t="shared" si="61"/>
        <v>10807</v>
      </c>
      <c r="B448" t="s">
        <v>1699</v>
      </c>
      <c r="C448" t="s">
        <v>1700</v>
      </c>
      <c r="D448" t="s">
        <v>1798</v>
      </c>
      <c r="E448" t="s">
        <v>25</v>
      </c>
      <c r="F448" t="s">
        <v>26</v>
      </c>
      <c r="G448" t="str">
        <f t="shared" si="58"/>
        <v>37</v>
      </c>
      <c r="H448" t="str">
        <f t="shared" si="60"/>
        <v>11</v>
      </c>
      <c r="I448" t="s">
        <v>37</v>
      </c>
      <c r="J448">
        <v>20</v>
      </c>
      <c r="K448">
        <v>0</v>
      </c>
      <c r="L448" t="s">
        <v>28</v>
      </c>
      <c r="M448" t="s">
        <v>1799</v>
      </c>
      <c r="N448">
        <v>1</v>
      </c>
      <c r="O448" t="str">
        <f t="shared" si="62"/>
        <v>722</v>
      </c>
      <c r="P448" t="s">
        <v>1800</v>
      </c>
      <c r="Q448" t="s">
        <v>37</v>
      </c>
      <c r="R448" t="s">
        <v>31</v>
      </c>
      <c r="S448" t="s">
        <v>28</v>
      </c>
      <c r="T448" t="str">
        <f>"09058397"</f>
        <v>09058397</v>
      </c>
      <c r="U448" t="s">
        <v>1801</v>
      </c>
      <c r="V448" t="s">
        <v>1802</v>
      </c>
    </row>
    <row r="449" spans="1:22" x14ac:dyDescent="0.25">
      <c r="A449" t="str">
        <f t="shared" si="61"/>
        <v>10807</v>
      </c>
      <c r="B449" t="s">
        <v>1699</v>
      </c>
      <c r="C449" t="s">
        <v>1700</v>
      </c>
      <c r="D449" t="s">
        <v>1803</v>
      </c>
      <c r="E449" t="s">
        <v>25</v>
      </c>
      <c r="F449" t="s">
        <v>1804</v>
      </c>
      <c r="G449" t="str">
        <f t="shared" si="58"/>
        <v>37</v>
      </c>
      <c r="H449" t="str">
        <f t="shared" si="60"/>
        <v>11</v>
      </c>
      <c r="I449" t="s">
        <v>37</v>
      </c>
      <c r="J449">
        <v>20</v>
      </c>
      <c r="K449">
        <v>0</v>
      </c>
      <c r="L449" t="s">
        <v>28</v>
      </c>
      <c r="M449" t="s">
        <v>1805</v>
      </c>
      <c r="N449">
        <v>1</v>
      </c>
      <c r="O449" t="str">
        <f t="shared" si="62"/>
        <v>722</v>
      </c>
      <c r="P449" t="s">
        <v>1806</v>
      </c>
      <c r="Q449" t="s">
        <v>37</v>
      </c>
      <c r="R449" t="s">
        <v>31</v>
      </c>
      <c r="S449" t="s">
        <v>28</v>
      </c>
      <c r="T449" t="str">
        <f>"97956156"</f>
        <v>97956156</v>
      </c>
      <c r="U449" t="s">
        <v>1807</v>
      </c>
      <c r="V449" t="s">
        <v>1808</v>
      </c>
    </row>
    <row r="450" spans="1:22" x14ac:dyDescent="0.25">
      <c r="A450" t="str">
        <f t="shared" si="61"/>
        <v>10807</v>
      </c>
      <c r="B450" t="s">
        <v>1699</v>
      </c>
      <c r="C450" t="s">
        <v>1700</v>
      </c>
      <c r="D450" t="s">
        <v>1809</v>
      </c>
      <c r="E450" t="s">
        <v>25</v>
      </c>
      <c r="F450" t="s">
        <v>26</v>
      </c>
      <c r="G450" t="str">
        <f t="shared" si="58"/>
        <v>37</v>
      </c>
      <c r="H450" t="str">
        <f t="shared" si="60"/>
        <v>11</v>
      </c>
      <c r="I450" t="s">
        <v>37</v>
      </c>
      <c r="J450">
        <v>20</v>
      </c>
      <c r="K450">
        <v>0</v>
      </c>
      <c r="L450" t="s">
        <v>28</v>
      </c>
      <c r="M450" t="s">
        <v>1810</v>
      </c>
      <c r="N450">
        <v>1</v>
      </c>
      <c r="O450" t="str">
        <f t="shared" si="62"/>
        <v>722</v>
      </c>
      <c r="P450" t="s">
        <v>1811</v>
      </c>
      <c r="Q450" t="s">
        <v>37</v>
      </c>
      <c r="R450" t="s">
        <v>31</v>
      </c>
      <c r="S450" t="s">
        <v>28</v>
      </c>
      <c r="T450" t="str">
        <f>"25895568"</f>
        <v>25895568</v>
      </c>
      <c r="U450" t="s">
        <v>1812</v>
      </c>
      <c r="V450" t="s">
        <v>1813</v>
      </c>
    </row>
    <row r="451" spans="1:22" x14ac:dyDescent="0.25">
      <c r="A451" t="str">
        <f t="shared" si="61"/>
        <v>10807</v>
      </c>
      <c r="B451" t="s">
        <v>1699</v>
      </c>
      <c r="C451" t="s">
        <v>1700</v>
      </c>
      <c r="D451" t="s">
        <v>1814</v>
      </c>
      <c r="E451" t="s">
        <v>25</v>
      </c>
      <c r="F451" t="s">
        <v>26</v>
      </c>
      <c r="G451" t="str">
        <f t="shared" si="58"/>
        <v>37</v>
      </c>
      <c r="H451" t="str">
        <f t="shared" si="60"/>
        <v>11</v>
      </c>
      <c r="I451" t="s">
        <v>27</v>
      </c>
      <c r="J451">
        <v>20</v>
      </c>
      <c r="K451">
        <v>0</v>
      </c>
      <c r="L451" t="s">
        <v>28</v>
      </c>
      <c r="M451" t="s">
        <v>1815</v>
      </c>
      <c r="N451">
        <v>1</v>
      </c>
      <c r="O451" t="str">
        <f t="shared" si="62"/>
        <v>722</v>
      </c>
      <c r="P451" t="s">
        <v>1816</v>
      </c>
      <c r="Q451" t="s">
        <v>27</v>
      </c>
      <c r="R451" t="s">
        <v>31</v>
      </c>
      <c r="S451" t="s">
        <v>28</v>
      </c>
      <c r="T451" t="str">
        <f>"25892295"</f>
        <v>25892295</v>
      </c>
      <c r="U451" t="s">
        <v>1817</v>
      </c>
      <c r="V451" t="s">
        <v>1818</v>
      </c>
    </row>
    <row r="452" spans="1:22" x14ac:dyDescent="0.25">
      <c r="A452" t="str">
        <f t="shared" si="61"/>
        <v>10807</v>
      </c>
      <c r="B452" t="s">
        <v>1699</v>
      </c>
      <c r="C452" t="s">
        <v>1700</v>
      </c>
      <c r="D452" t="s">
        <v>1819</v>
      </c>
      <c r="E452" t="s">
        <v>25</v>
      </c>
      <c r="F452" t="s">
        <v>26</v>
      </c>
      <c r="G452" t="str">
        <f t="shared" si="58"/>
        <v>37</v>
      </c>
      <c r="H452" t="str">
        <f t="shared" si="60"/>
        <v>11</v>
      </c>
      <c r="I452" t="s">
        <v>27</v>
      </c>
      <c r="J452">
        <v>20</v>
      </c>
      <c r="K452">
        <v>0</v>
      </c>
      <c r="L452" t="s">
        <v>28</v>
      </c>
      <c r="M452" t="s">
        <v>1820</v>
      </c>
      <c r="N452">
        <v>1</v>
      </c>
      <c r="O452" t="str">
        <f t="shared" si="62"/>
        <v>722</v>
      </c>
      <c r="P452" t="s">
        <v>1821</v>
      </c>
      <c r="Q452" t="s">
        <v>27</v>
      </c>
      <c r="R452" t="s">
        <v>31</v>
      </c>
      <c r="S452" t="s">
        <v>28</v>
      </c>
      <c r="T452" t="str">
        <f>"36626909"</f>
        <v>36626909</v>
      </c>
      <c r="U452" t="s">
        <v>1822</v>
      </c>
      <c r="V452" t="s">
        <v>1823</v>
      </c>
    </row>
    <row r="453" spans="1:22" x14ac:dyDescent="0.25">
      <c r="A453" t="str">
        <f t="shared" si="61"/>
        <v>10807</v>
      </c>
      <c r="B453" t="s">
        <v>1699</v>
      </c>
      <c r="C453" t="s">
        <v>1700</v>
      </c>
      <c r="D453" t="s">
        <v>1824</v>
      </c>
      <c r="E453" t="s">
        <v>25</v>
      </c>
      <c r="F453" t="s">
        <v>26</v>
      </c>
      <c r="G453" t="str">
        <f t="shared" ref="G453:G471" si="63">"37"</f>
        <v>37</v>
      </c>
      <c r="H453" t="str">
        <f t="shared" si="60"/>
        <v>11</v>
      </c>
      <c r="I453" t="s">
        <v>27</v>
      </c>
      <c r="J453">
        <v>50</v>
      </c>
      <c r="K453">
        <v>0</v>
      </c>
      <c r="L453" t="s">
        <v>28</v>
      </c>
      <c r="M453" t="s">
        <v>1825</v>
      </c>
      <c r="N453">
        <v>1</v>
      </c>
      <c r="O453" t="str">
        <f t="shared" si="62"/>
        <v>722</v>
      </c>
      <c r="P453" t="s">
        <v>1826</v>
      </c>
      <c r="Q453" t="s">
        <v>27</v>
      </c>
      <c r="R453" t="s">
        <v>31</v>
      </c>
      <c r="S453" t="s">
        <v>28</v>
      </c>
      <c r="T453" t="str">
        <f>"20248445"</f>
        <v>20248445</v>
      </c>
      <c r="U453" t="s">
        <v>1827</v>
      </c>
      <c r="V453" t="s">
        <v>1828</v>
      </c>
    </row>
    <row r="454" spans="1:22" x14ac:dyDescent="0.25">
      <c r="A454" t="str">
        <f t="shared" si="61"/>
        <v>10807</v>
      </c>
      <c r="B454" t="s">
        <v>1699</v>
      </c>
      <c r="C454" t="s">
        <v>1700</v>
      </c>
      <c r="D454" t="s">
        <v>1829</v>
      </c>
      <c r="E454" t="s">
        <v>25</v>
      </c>
      <c r="F454" t="s">
        <v>26</v>
      </c>
      <c r="G454" t="str">
        <f t="shared" si="63"/>
        <v>37</v>
      </c>
      <c r="H454" t="str">
        <f t="shared" si="60"/>
        <v>11</v>
      </c>
      <c r="I454" t="s">
        <v>37</v>
      </c>
      <c r="J454">
        <v>30</v>
      </c>
      <c r="K454">
        <v>0</v>
      </c>
      <c r="L454" t="s">
        <v>28</v>
      </c>
      <c r="M454" t="s">
        <v>1830</v>
      </c>
      <c r="N454">
        <v>1</v>
      </c>
      <c r="O454" t="str">
        <f t="shared" si="62"/>
        <v>722</v>
      </c>
      <c r="P454" t="s">
        <v>1831</v>
      </c>
      <c r="Q454" t="s">
        <v>37</v>
      </c>
      <c r="R454" t="s">
        <v>31</v>
      </c>
      <c r="S454" t="s">
        <v>28</v>
      </c>
      <c r="T454" t="str">
        <f>"97940520"</f>
        <v>97940520</v>
      </c>
      <c r="U454" t="s">
        <v>1832</v>
      </c>
      <c r="V454" t="s">
        <v>1833</v>
      </c>
    </row>
    <row r="455" spans="1:22" x14ac:dyDescent="0.25">
      <c r="A455" t="str">
        <f t="shared" si="61"/>
        <v>10807</v>
      </c>
      <c r="B455" t="s">
        <v>1699</v>
      </c>
      <c r="C455" t="s">
        <v>1700</v>
      </c>
      <c r="D455" t="s">
        <v>1834</v>
      </c>
      <c r="E455" t="s">
        <v>25</v>
      </c>
      <c r="F455" t="s">
        <v>26</v>
      </c>
      <c r="G455" t="str">
        <f t="shared" si="63"/>
        <v>37</v>
      </c>
      <c r="H455" t="str">
        <f t="shared" si="60"/>
        <v>11</v>
      </c>
      <c r="I455" t="s">
        <v>1228</v>
      </c>
      <c r="J455">
        <v>40</v>
      </c>
      <c r="K455">
        <v>0</v>
      </c>
      <c r="L455" t="s">
        <v>28</v>
      </c>
      <c r="M455" t="s">
        <v>1835</v>
      </c>
      <c r="N455">
        <v>1</v>
      </c>
      <c r="O455" t="str">
        <f t="shared" si="62"/>
        <v>722</v>
      </c>
      <c r="P455" t="s">
        <v>1836</v>
      </c>
      <c r="Q455" t="s">
        <v>1228</v>
      </c>
      <c r="R455" t="s">
        <v>31</v>
      </c>
      <c r="S455" t="s">
        <v>28</v>
      </c>
      <c r="T455" t="str">
        <f>"82701402"</f>
        <v>82701402</v>
      </c>
      <c r="U455" t="s">
        <v>1837</v>
      </c>
      <c r="V455" t="s">
        <v>1838</v>
      </c>
    </row>
    <row r="456" spans="1:22" x14ac:dyDescent="0.25">
      <c r="A456" t="str">
        <f t="shared" si="61"/>
        <v>10807</v>
      </c>
      <c r="B456" t="s">
        <v>1699</v>
      </c>
      <c r="C456" t="s">
        <v>1700</v>
      </c>
      <c r="D456" t="s">
        <v>1839</v>
      </c>
      <c r="E456" t="s">
        <v>25</v>
      </c>
      <c r="F456" t="s">
        <v>26</v>
      </c>
      <c r="G456" t="str">
        <f t="shared" si="63"/>
        <v>37</v>
      </c>
      <c r="H456" t="str">
        <f t="shared" si="60"/>
        <v>11</v>
      </c>
      <c r="I456" t="s">
        <v>37</v>
      </c>
      <c r="J456">
        <v>20</v>
      </c>
      <c r="K456">
        <v>0</v>
      </c>
      <c r="L456" t="s">
        <v>28</v>
      </c>
      <c r="M456" t="s">
        <v>1840</v>
      </c>
      <c r="N456">
        <v>1</v>
      </c>
      <c r="O456" t="str">
        <f t="shared" si="62"/>
        <v>722</v>
      </c>
      <c r="P456" t="s">
        <v>1841</v>
      </c>
      <c r="Q456" t="s">
        <v>37</v>
      </c>
      <c r="R456" t="s">
        <v>31</v>
      </c>
      <c r="S456" t="s">
        <v>28</v>
      </c>
      <c r="T456" t="str">
        <f>"09058495"</f>
        <v>09058495</v>
      </c>
      <c r="U456" t="s">
        <v>1842</v>
      </c>
      <c r="V456" t="s">
        <v>1843</v>
      </c>
    </row>
    <row r="457" spans="1:22" x14ac:dyDescent="0.25">
      <c r="A457" t="str">
        <f t="shared" si="61"/>
        <v>10807</v>
      </c>
      <c r="B457" t="s">
        <v>1699</v>
      </c>
      <c r="C457" t="s">
        <v>1700</v>
      </c>
      <c r="D457" t="s">
        <v>1844</v>
      </c>
      <c r="E457" t="s">
        <v>25</v>
      </c>
      <c r="F457" t="s">
        <v>26</v>
      </c>
      <c r="G457" t="str">
        <f t="shared" si="63"/>
        <v>37</v>
      </c>
      <c r="H457" t="str">
        <f t="shared" si="60"/>
        <v>11</v>
      </c>
      <c r="I457" t="s">
        <v>835</v>
      </c>
      <c r="J457">
        <v>99.156999999999996</v>
      </c>
      <c r="K457">
        <v>0</v>
      </c>
      <c r="L457" t="s">
        <v>28</v>
      </c>
      <c r="M457" t="s">
        <v>1845</v>
      </c>
      <c r="N457">
        <v>1</v>
      </c>
      <c r="O457" t="str">
        <f>"723"</f>
        <v>723</v>
      </c>
      <c r="P457" t="s">
        <v>1846</v>
      </c>
      <c r="Q457" t="s">
        <v>835</v>
      </c>
      <c r="R457" t="s">
        <v>31</v>
      </c>
      <c r="S457" t="s">
        <v>28</v>
      </c>
      <c r="T457" t="str">
        <f>"70995402"</f>
        <v>70995402</v>
      </c>
      <c r="U457" t="s">
        <v>1847</v>
      </c>
      <c r="V457" t="s">
        <v>1848</v>
      </c>
    </row>
    <row r="458" spans="1:22" x14ac:dyDescent="0.25">
      <c r="A458" t="str">
        <f t="shared" si="61"/>
        <v>10807</v>
      </c>
      <c r="B458" t="s">
        <v>1699</v>
      </c>
      <c r="C458" t="s">
        <v>1700</v>
      </c>
      <c r="D458" t="s">
        <v>1849</v>
      </c>
      <c r="E458" t="s">
        <v>25</v>
      </c>
      <c r="F458" t="s">
        <v>26</v>
      </c>
      <c r="G458" t="str">
        <f t="shared" si="63"/>
        <v>37</v>
      </c>
      <c r="H458" t="str">
        <f t="shared" si="60"/>
        <v>11</v>
      </c>
      <c r="I458" t="s">
        <v>1735</v>
      </c>
      <c r="J458">
        <v>20</v>
      </c>
      <c r="K458">
        <v>0</v>
      </c>
      <c r="L458" t="s">
        <v>28</v>
      </c>
      <c r="M458" t="s">
        <v>1850</v>
      </c>
      <c r="N458">
        <v>1</v>
      </c>
      <c r="O458" t="str">
        <f>"723"</f>
        <v>723</v>
      </c>
      <c r="P458" t="s">
        <v>1851</v>
      </c>
      <c r="Q458" t="s">
        <v>1735</v>
      </c>
      <c r="R458" t="s">
        <v>31</v>
      </c>
      <c r="S458" t="s">
        <v>28</v>
      </c>
      <c r="T458" t="str">
        <f>"76983213"</f>
        <v>76983213</v>
      </c>
      <c r="U458" t="s">
        <v>1852</v>
      </c>
      <c r="V458" t="s">
        <v>1853</v>
      </c>
    </row>
    <row r="459" spans="1:22" x14ac:dyDescent="0.25">
      <c r="A459" t="str">
        <f t="shared" si="61"/>
        <v>10807</v>
      </c>
      <c r="B459" t="s">
        <v>1699</v>
      </c>
      <c r="C459" t="s">
        <v>1700</v>
      </c>
      <c r="D459" t="s">
        <v>1854</v>
      </c>
      <c r="E459" t="s">
        <v>25</v>
      </c>
      <c r="F459" t="s">
        <v>26</v>
      </c>
      <c r="G459" t="str">
        <f t="shared" si="63"/>
        <v>37</v>
      </c>
      <c r="H459" t="str">
        <f t="shared" si="60"/>
        <v>11</v>
      </c>
      <c r="I459" t="s">
        <v>1735</v>
      </c>
      <c r="J459">
        <v>20</v>
      </c>
      <c r="K459">
        <v>0</v>
      </c>
      <c r="L459" t="s">
        <v>28</v>
      </c>
      <c r="M459" t="s">
        <v>1855</v>
      </c>
      <c r="N459">
        <v>1</v>
      </c>
      <c r="O459" t="str">
        <f>"723"</f>
        <v>723</v>
      </c>
      <c r="P459" t="s">
        <v>1856</v>
      </c>
      <c r="Q459" t="s">
        <v>1735</v>
      </c>
      <c r="R459" t="s">
        <v>31</v>
      </c>
      <c r="S459" t="s">
        <v>28</v>
      </c>
      <c r="T459" t="str">
        <f>"78941680"</f>
        <v>78941680</v>
      </c>
      <c r="U459" t="s">
        <v>1857</v>
      </c>
      <c r="V459" t="s">
        <v>1858</v>
      </c>
    </row>
    <row r="460" spans="1:22" x14ac:dyDescent="0.25">
      <c r="A460" t="str">
        <f t="shared" si="61"/>
        <v>10807</v>
      </c>
      <c r="B460" t="s">
        <v>1699</v>
      </c>
      <c r="C460" t="s">
        <v>1700</v>
      </c>
      <c r="D460" t="s">
        <v>1859</v>
      </c>
      <c r="E460" t="s">
        <v>25</v>
      </c>
      <c r="F460" t="s">
        <v>26</v>
      </c>
      <c r="G460" t="str">
        <f t="shared" si="63"/>
        <v>37</v>
      </c>
      <c r="H460" t="str">
        <f t="shared" si="60"/>
        <v>11</v>
      </c>
      <c r="I460" t="s">
        <v>1860</v>
      </c>
      <c r="J460">
        <v>30</v>
      </c>
      <c r="K460">
        <v>0</v>
      </c>
      <c r="L460" t="s">
        <v>28</v>
      </c>
      <c r="M460" t="s">
        <v>1861</v>
      </c>
      <c r="N460">
        <v>1</v>
      </c>
      <c r="O460" t="str">
        <f>"723"</f>
        <v>723</v>
      </c>
      <c r="P460" t="s">
        <v>1862</v>
      </c>
      <c r="Q460" t="s">
        <v>1860</v>
      </c>
      <c r="R460" t="s">
        <v>31</v>
      </c>
      <c r="S460" t="s">
        <v>28</v>
      </c>
      <c r="T460" t="str">
        <f>"76983086"</f>
        <v>76983086</v>
      </c>
      <c r="U460" t="s">
        <v>1863</v>
      </c>
      <c r="V460" t="s">
        <v>1864</v>
      </c>
    </row>
    <row r="461" spans="1:22" x14ac:dyDescent="0.25">
      <c r="A461" t="str">
        <f t="shared" si="61"/>
        <v>10807</v>
      </c>
      <c r="B461" t="s">
        <v>1699</v>
      </c>
      <c r="C461" t="s">
        <v>1700</v>
      </c>
      <c r="D461" t="s">
        <v>1865</v>
      </c>
      <c r="E461" t="s">
        <v>25</v>
      </c>
      <c r="F461" t="s">
        <v>26</v>
      </c>
      <c r="G461" t="str">
        <f t="shared" si="63"/>
        <v>37</v>
      </c>
      <c r="H461" t="str">
        <f t="shared" si="60"/>
        <v>11</v>
      </c>
      <c r="I461" t="s">
        <v>37</v>
      </c>
      <c r="J461">
        <v>40</v>
      </c>
      <c r="K461">
        <v>0</v>
      </c>
      <c r="L461" t="s">
        <v>28</v>
      </c>
      <c r="M461" t="s">
        <v>1866</v>
      </c>
      <c r="N461">
        <v>1</v>
      </c>
      <c r="O461" t="str">
        <f>"722"</f>
        <v>722</v>
      </c>
      <c r="P461" t="s">
        <v>1867</v>
      </c>
      <c r="Q461" t="s">
        <v>37</v>
      </c>
      <c r="R461" t="s">
        <v>31</v>
      </c>
      <c r="S461" t="s">
        <v>28</v>
      </c>
      <c r="T461" t="str">
        <f>"78941990"</f>
        <v>78941990</v>
      </c>
      <c r="U461" t="s">
        <v>1765</v>
      </c>
      <c r="V461" t="s">
        <v>1766</v>
      </c>
    </row>
    <row r="462" spans="1:22" x14ac:dyDescent="0.25">
      <c r="A462" t="str">
        <f t="shared" si="61"/>
        <v>10807</v>
      </c>
      <c r="B462" t="s">
        <v>1699</v>
      </c>
      <c r="C462" t="s">
        <v>1700</v>
      </c>
      <c r="D462" t="s">
        <v>1868</v>
      </c>
      <c r="E462" t="s">
        <v>25</v>
      </c>
      <c r="F462" t="s">
        <v>26</v>
      </c>
      <c r="G462" t="str">
        <f t="shared" si="63"/>
        <v>37</v>
      </c>
      <c r="H462" t="str">
        <f t="shared" si="60"/>
        <v>11</v>
      </c>
      <c r="I462" t="s">
        <v>37</v>
      </c>
      <c r="J462">
        <v>40</v>
      </c>
      <c r="K462">
        <v>0</v>
      </c>
      <c r="L462" t="s">
        <v>28</v>
      </c>
      <c r="M462" t="s">
        <v>1869</v>
      </c>
      <c r="N462">
        <v>1</v>
      </c>
      <c r="O462" t="str">
        <f>"722"</f>
        <v>722</v>
      </c>
      <c r="P462" t="s">
        <v>1870</v>
      </c>
      <c r="Q462" t="s">
        <v>37</v>
      </c>
      <c r="R462" t="s">
        <v>31</v>
      </c>
      <c r="S462" t="s">
        <v>28</v>
      </c>
      <c r="T462" t="str">
        <f>"78941422"</f>
        <v>78941422</v>
      </c>
      <c r="U462" t="s">
        <v>1871</v>
      </c>
      <c r="V462" t="s">
        <v>1872</v>
      </c>
    </row>
    <row r="463" spans="1:22" x14ac:dyDescent="0.25">
      <c r="A463" t="str">
        <f t="shared" si="61"/>
        <v>10807</v>
      </c>
      <c r="B463" t="s">
        <v>1699</v>
      </c>
      <c r="C463" t="s">
        <v>1700</v>
      </c>
      <c r="D463" t="s">
        <v>1873</v>
      </c>
      <c r="E463" t="s">
        <v>1272</v>
      </c>
      <c r="F463" t="s">
        <v>1273</v>
      </c>
      <c r="G463" t="str">
        <f t="shared" si="63"/>
        <v>37</v>
      </c>
      <c r="I463" t="s">
        <v>1027</v>
      </c>
      <c r="J463">
        <v>20</v>
      </c>
      <c r="K463">
        <v>20</v>
      </c>
      <c r="L463" t="s">
        <v>28</v>
      </c>
      <c r="M463" t="s">
        <v>1874</v>
      </c>
      <c r="N463">
        <v>1</v>
      </c>
      <c r="O463" t="str">
        <f t="shared" ref="O463:O471" si="64">"721"</f>
        <v>721</v>
      </c>
      <c r="P463" t="s">
        <v>1029</v>
      </c>
      <c r="Q463" t="s">
        <v>1027</v>
      </c>
      <c r="R463" t="s">
        <v>31</v>
      </c>
      <c r="S463" t="s">
        <v>28</v>
      </c>
      <c r="U463" t="s">
        <v>1274</v>
      </c>
      <c r="V463" t="s">
        <v>1097</v>
      </c>
    </row>
    <row r="464" spans="1:22" x14ac:dyDescent="0.25">
      <c r="A464" t="str">
        <f t="shared" si="61"/>
        <v>10807</v>
      </c>
      <c r="B464" t="s">
        <v>1699</v>
      </c>
      <c r="C464" t="s">
        <v>1700</v>
      </c>
      <c r="D464" t="s">
        <v>1875</v>
      </c>
      <c r="E464" t="s">
        <v>1272</v>
      </c>
      <c r="F464" t="s">
        <v>1273</v>
      </c>
      <c r="G464" t="str">
        <f t="shared" si="63"/>
        <v>37</v>
      </c>
      <c r="I464" t="s">
        <v>1027</v>
      </c>
      <c r="J464">
        <v>20</v>
      </c>
      <c r="K464">
        <v>20</v>
      </c>
      <c r="L464" t="s">
        <v>28</v>
      </c>
      <c r="M464" t="s">
        <v>1876</v>
      </c>
      <c r="N464">
        <v>1</v>
      </c>
      <c r="O464" t="str">
        <f t="shared" si="64"/>
        <v>721</v>
      </c>
      <c r="P464" t="s">
        <v>1029</v>
      </c>
      <c r="Q464" t="s">
        <v>1027</v>
      </c>
      <c r="R464" t="s">
        <v>31</v>
      </c>
      <c r="S464" t="s">
        <v>28</v>
      </c>
      <c r="U464" t="s">
        <v>1274</v>
      </c>
      <c r="V464" t="s">
        <v>1097</v>
      </c>
    </row>
    <row r="465" spans="1:22" x14ac:dyDescent="0.25">
      <c r="A465" t="str">
        <f t="shared" si="61"/>
        <v>10807</v>
      </c>
      <c r="B465" t="s">
        <v>1699</v>
      </c>
      <c r="C465" t="s">
        <v>1700</v>
      </c>
      <c r="D465" t="s">
        <v>1877</v>
      </c>
      <c r="E465" t="s">
        <v>1272</v>
      </c>
      <c r="F465" t="s">
        <v>1273</v>
      </c>
      <c r="G465" t="str">
        <f t="shared" si="63"/>
        <v>37</v>
      </c>
      <c r="I465" t="s">
        <v>1027</v>
      </c>
      <c r="J465">
        <v>20</v>
      </c>
      <c r="K465">
        <v>20</v>
      </c>
      <c r="L465" t="s">
        <v>28</v>
      </c>
      <c r="M465" t="s">
        <v>1878</v>
      </c>
      <c r="N465">
        <v>1</v>
      </c>
      <c r="O465" t="str">
        <f t="shared" si="64"/>
        <v>721</v>
      </c>
      <c r="P465" t="s">
        <v>1029</v>
      </c>
      <c r="Q465" t="s">
        <v>1027</v>
      </c>
      <c r="R465" t="s">
        <v>31</v>
      </c>
      <c r="S465" t="s">
        <v>28</v>
      </c>
      <c r="U465" t="s">
        <v>1274</v>
      </c>
      <c r="V465" t="s">
        <v>1097</v>
      </c>
    </row>
    <row r="466" spans="1:22" x14ac:dyDescent="0.25">
      <c r="A466" t="str">
        <f t="shared" si="61"/>
        <v>10807</v>
      </c>
      <c r="B466" t="s">
        <v>1699</v>
      </c>
      <c r="C466" t="s">
        <v>1700</v>
      </c>
      <c r="D466" t="s">
        <v>1879</v>
      </c>
      <c r="E466" t="s">
        <v>1272</v>
      </c>
      <c r="F466" t="s">
        <v>1273</v>
      </c>
      <c r="G466" t="str">
        <f t="shared" si="63"/>
        <v>37</v>
      </c>
      <c r="I466" t="s">
        <v>1027</v>
      </c>
      <c r="J466">
        <v>10</v>
      </c>
      <c r="K466">
        <v>10</v>
      </c>
      <c r="L466" t="s">
        <v>28</v>
      </c>
      <c r="M466" t="s">
        <v>1880</v>
      </c>
      <c r="N466">
        <v>1</v>
      </c>
      <c r="O466" t="str">
        <f t="shared" si="64"/>
        <v>721</v>
      </c>
      <c r="P466" t="s">
        <v>1029</v>
      </c>
      <c r="Q466" t="s">
        <v>1027</v>
      </c>
      <c r="R466" t="s">
        <v>31</v>
      </c>
      <c r="S466" t="s">
        <v>28</v>
      </c>
      <c r="U466" t="s">
        <v>1274</v>
      </c>
      <c r="V466" t="s">
        <v>1097</v>
      </c>
    </row>
    <row r="467" spans="1:22" x14ac:dyDescent="0.25">
      <c r="A467" t="str">
        <f t="shared" si="61"/>
        <v>10807</v>
      </c>
      <c r="B467" t="s">
        <v>1699</v>
      </c>
      <c r="C467" t="s">
        <v>1700</v>
      </c>
      <c r="D467" t="s">
        <v>1881</v>
      </c>
      <c r="E467" t="s">
        <v>1272</v>
      </c>
      <c r="F467" t="s">
        <v>1273</v>
      </c>
      <c r="G467" t="str">
        <f t="shared" si="63"/>
        <v>37</v>
      </c>
      <c r="I467" t="s">
        <v>1027</v>
      </c>
      <c r="J467">
        <v>10</v>
      </c>
      <c r="K467">
        <v>10</v>
      </c>
      <c r="L467" t="s">
        <v>28</v>
      </c>
      <c r="M467" t="s">
        <v>1882</v>
      </c>
      <c r="N467">
        <v>1</v>
      </c>
      <c r="O467" t="str">
        <f t="shared" si="64"/>
        <v>721</v>
      </c>
      <c r="P467" t="s">
        <v>1029</v>
      </c>
      <c r="Q467" t="s">
        <v>1027</v>
      </c>
      <c r="R467" t="s">
        <v>31</v>
      </c>
      <c r="S467" t="s">
        <v>28</v>
      </c>
      <c r="U467" t="s">
        <v>1274</v>
      </c>
      <c r="V467" t="s">
        <v>1097</v>
      </c>
    </row>
    <row r="468" spans="1:22" x14ac:dyDescent="0.25">
      <c r="A468" t="str">
        <f t="shared" si="61"/>
        <v>10807</v>
      </c>
      <c r="B468" t="s">
        <v>1699</v>
      </c>
      <c r="C468" t="s">
        <v>1700</v>
      </c>
      <c r="D468" t="s">
        <v>1883</v>
      </c>
      <c r="E468" t="s">
        <v>1272</v>
      </c>
      <c r="F468" t="s">
        <v>1273</v>
      </c>
      <c r="G468" t="str">
        <f t="shared" si="63"/>
        <v>37</v>
      </c>
      <c r="I468" t="s">
        <v>1027</v>
      </c>
      <c r="J468">
        <v>50</v>
      </c>
      <c r="K468">
        <v>50</v>
      </c>
      <c r="L468" t="s">
        <v>28</v>
      </c>
      <c r="M468" t="s">
        <v>1884</v>
      </c>
      <c r="N468">
        <v>1</v>
      </c>
      <c r="O468" t="str">
        <f t="shared" si="64"/>
        <v>721</v>
      </c>
      <c r="P468" t="s">
        <v>1029</v>
      </c>
      <c r="Q468" t="s">
        <v>1027</v>
      </c>
      <c r="R468" t="s">
        <v>31</v>
      </c>
      <c r="S468" t="s">
        <v>28</v>
      </c>
      <c r="U468" t="s">
        <v>1274</v>
      </c>
      <c r="V468" t="s">
        <v>1097</v>
      </c>
    </row>
    <row r="469" spans="1:22" x14ac:dyDescent="0.25">
      <c r="A469" t="str">
        <f t="shared" si="61"/>
        <v>10807</v>
      </c>
      <c r="B469" t="s">
        <v>1699</v>
      </c>
      <c r="C469" t="s">
        <v>1700</v>
      </c>
      <c r="D469" t="s">
        <v>1885</v>
      </c>
      <c r="E469" t="s">
        <v>1272</v>
      </c>
      <c r="F469" t="s">
        <v>1273</v>
      </c>
      <c r="G469" t="str">
        <f t="shared" si="63"/>
        <v>37</v>
      </c>
      <c r="I469" t="s">
        <v>1027</v>
      </c>
      <c r="J469">
        <v>20</v>
      </c>
      <c r="K469">
        <v>20</v>
      </c>
      <c r="L469" t="s">
        <v>28</v>
      </c>
      <c r="M469" t="s">
        <v>1886</v>
      </c>
      <c r="N469">
        <v>1</v>
      </c>
      <c r="O469" t="str">
        <f t="shared" si="64"/>
        <v>721</v>
      </c>
      <c r="P469" t="s">
        <v>1029</v>
      </c>
      <c r="Q469" t="s">
        <v>1027</v>
      </c>
      <c r="R469" t="s">
        <v>31</v>
      </c>
      <c r="S469" t="s">
        <v>28</v>
      </c>
      <c r="U469" t="s">
        <v>1274</v>
      </c>
      <c r="V469" t="s">
        <v>1097</v>
      </c>
    </row>
    <row r="470" spans="1:22" x14ac:dyDescent="0.25">
      <c r="A470" t="str">
        <f t="shared" si="61"/>
        <v>10807</v>
      </c>
      <c r="B470" t="s">
        <v>1699</v>
      </c>
      <c r="C470" t="s">
        <v>1700</v>
      </c>
      <c r="D470" t="s">
        <v>1887</v>
      </c>
      <c r="E470" t="s">
        <v>1272</v>
      </c>
      <c r="F470" t="s">
        <v>1273</v>
      </c>
      <c r="G470" t="str">
        <f t="shared" si="63"/>
        <v>37</v>
      </c>
      <c r="I470" t="s">
        <v>1027</v>
      </c>
      <c r="J470">
        <v>20</v>
      </c>
      <c r="K470">
        <v>20</v>
      </c>
      <c r="L470" t="s">
        <v>28</v>
      </c>
      <c r="M470" t="s">
        <v>1888</v>
      </c>
      <c r="N470">
        <v>1</v>
      </c>
      <c r="O470" t="str">
        <f t="shared" si="64"/>
        <v>721</v>
      </c>
      <c r="P470" t="s">
        <v>1029</v>
      </c>
      <c r="Q470" t="s">
        <v>1027</v>
      </c>
      <c r="R470" t="s">
        <v>31</v>
      </c>
      <c r="S470" t="s">
        <v>28</v>
      </c>
      <c r="U470" t="s">
        <v>1274</v>
      </c>
      <c r="V470" t="s">
        <v>1097</v>
      </c>
    </row>
    <row r="471" spans="1:22" x14ac:dyDescent="0.25">
      <c r="A471" t="str">
        <f t="shared" si="61"/>
        <v>10807</v>
      </c>
      <c r="B471" t="s">
        <v>1699</v>
      </c>
      <c r="C471" t="s">
        <v>1700</v>
      </c>
      <c r="D471" t="s">
        <v>1889</v>
      </c>
      <c r="E471" t="s">
        <v>1272</v>
      </c>
      <c r="F471" t="s">
        <v>1273</v>
      </c>
      <c r="G471" t="str">
        <f t="shared" si="63"/>
        <v>37</v>
      </c>
      <c r="I471" t="s">
        <v>1027</v>
      </c>
      <c r="J471">
        <v>30</v>
      </c>
      <c r="K471">
        <v>30</v>
      </c>
      <c r="L471" t="s">
        <v>28</v>
      </c>
      <c r="M471" t="s">
        <v>1890</v>
      </c>
      <c r="N471">
        <v>1</v>
      </c>
      <c r="O471" t="str">
        <f t="shared" si="64"/>
        <v>721</v>
      </c>
      <c r="P471" t="s">
        <v>1029</v>
      </c>
      <c r="Q471" t="s">
        <v>1027</v>
      </c>
      <c r="R471" t="s">
        <v>31</v>
      </c>
      <c r="S471" t="s">
        <v>28</v>
      </c>
      <c r="U471" t="s">
        <v>1274</v>
      </c>
      <c r="V471" t="s">
        <v>1097</v>
      </c>
    </row>
    <row r="472" spans="1:22" x14ac:dyDescent="0.25">
      <c r="A472" t="str">
        <f t="shared" si="61"/>
        <v>10807</v>
      </c>
      <c r="B472" t="s">
        <v>1891</v>
      </c>
      <c r="C472" t="s">
        <v>1892</v>
      </c>
      <c r="D472" t="s">
        <v>1893</v>
      </c>
      <c r="E472" t="s">
        <v>1272</v>
      </c>
      <c r="F472" t="s">
        <v>1273</v>
      </c>
      <c r="G472" t="str">
        <f>"65"</f>
        <v>65</v>
      </c>
      <c r="I472" t="str">
        <f>"89"</f>
        <v>89</v>
      </c>
      <c r="J472">
        <v>26.294</v>
      </c>
      <c r="K472">
        <v>0</v>
      </c>
      <c r="L472" t="s">
        <v>28</v>
      </c>
      <c r="M472" t="s">
        <v>1894</v>
      </c>
      <c r="N472">
        <v>1</v>
      </c>
      <c r="O472" t="str">
        <f t="shared" ref="O472:O476" si="65">"723"</f>
        <v>723</v>
      </c>
      <c r="P472" t="s">
        <v>1895</v>
      </c>
      <c r="Q472" t="s">
        <v>1860</v>
      </c>
      <c r="R472" t="s">
        <v>31</v>
      </c>
      <c r="S472" t="s">
        <v>28</v>
      </c>
      <c r="U472" t="s">
        <v>1274</v>
      </c>
      <c r="V472" t="s">
        <v>1097</v>
      </c>
    </row>
    <row r="473" spans="1:22" x14ac:dyDescent="0.25">
      <c r="A473" t="str">
        <f t="shared" si="61"/>
        <v>10807</v>
      </c>
      <c r="B473" t="s">
        <v>1891</v>
      </c>
      <c r="C473" t="s">
        <v>1892</v>
      </c>
      <c r="D473" t="s">
        <v>1896</v>
      </c>
      <c r="E473" t="s">
        <v>1272</v>
      </c>
      <c r="F473" t="s">
        <v>1273</v>
      </c>
      <c r="G473" t="str">
        <f>"65"</f>
        <v>65</v>
      </c>
      <c r="I473" t="str">
        <f>"89"</f>
        <v>89</v>
      </c>
      <c r="J473">
        <v>18.100999999999999</v>
      </c>
      <c r="K473">
        <v>0</v>
      </c>
      <c r="L473" t="s">
        <v>28</v>
      </c>
      <c r="M473" t="s">
        <v>1897</v>
      </c>
      <c r="N473">
        <v>1</v>
      </c>
      <c r="O473" t="str">
        <f t="shared" si="65"/>
        <v>723</v>
      </c>
      <c r="P473" t="s">
        <v>1895</v>
      </c>
      <c r="Q473" t="s">
        <v>1860</v>
      </c>
      <c r="R473" t="s">
        <v>31</v>
      </c>
      <c r="S473" t="s">
        <v>28</v>
      </c>
      <c r="U473" t="s">
        <v>1274</v>
      </c>
      <c r="V473" t="s">
        <v>1097</v>
      </c>
    </row>
    <row r="474" spans="1:22" x14ac:dyDescent="0.25">
      <c r="A474" t="str">
        <f t="shared" si="61"/>
        <v>10807</v>
      </c>
      <c r="B474" t="s">
        <v>1891</v>
      </c>
      <c r="C474" t="s">
        <v>1892</v>
      </c>
      <c r="D474" t="s">
        <v>1898</v>
      </c>
      <c r="E474" t="s">
        <v>1272</v>
      </c>
      <c r="F474" t="s">
        <v>1273</v>
      </c>
      <c r="G474" t="str">
        <f>"65"</f>
        <v>65</v>
      </c>
      <c r="I474" t="str">
        <f>"89"</f>
        <v>89</v>
      </c>
      <c r="J474">
        <v>26.867999999999999</v>
      </c>
      <c r="K474">
        <v>0</v>
      </c>
      <c r="L474" t="s">
        <v>28</v>
      </c>
      <c r="M474" t="s">
        <v>1899</v>
      </c>
      <c r="N474">
        <v>1</v>
      </c>
      <c r="O474" t="str">
        <f t="shared" si="65"/>
        <v>723</v>
      </c>
      <c r="P474" t="s">
        <v>1895</v>
      </c>
      <c r="Q474" t="s">
        <v>1860</v>
      </c>
      <c r="R474" t="s">
        <v>31</v>
      </c>
      <c r="S474" t="s">
        <v>28</v>
      </c>
      <c r="U474" t="s">
        <v>1274</v>
      </c>
      <c r="V474" t="s">
        <v>1097</v>
      </c>
    </row>
    <row r="475" spans="1:22" x14ac:dyDescent="0.25">
      <c r="A475" t="str">
        <f t="shared" si="61"/>
        <v>10807</v>
      </c>
      <c r="B475" t="s">
        <v>1891</v>
      </c>
      <c r="C475" t="s">
        <v>1892</v>
      </c>
      <c r="D475" t="s">
        <v>1900</v>
      </c>
      <c r="E475" t="s">
        <v>25</v>
      </c>
      <c r="F475" t="s">
        <v>26</v>
      </c>
      <c r="G475" t="str">
        <f t="shared" ref="G475:G506" si="66">"37"</f>
        <v>37</v>
      </c>
      <c r="H475" t="str">
        <f>"12"</f>
        <v>12</v>
      </c>
      <c r="I475" t="s">
        <v>763</v>
      </c>
      <c r="J475">
        <v>20</v>
      </c>
      <c r="K475">
        <v>20</v>
      </c>
      <c r="L475" t="s">
        <v>28</v>
      </c>
      <c r="M475" t="s">
        <v>1901</v>
      </c>
      <c r="N475">
        <v>1</v>
      </c>
      <c r="O475" t="str">
        <f t="shared" si="65"/>
        <v>723</v>
      </c>
      <c r="P475" t="s">
        <v>1902</v>
      </c>
      <c r="Q475" t="s">
        <v>763</v>
      </c>
      <c r="R475" t="s">
        <v>31</v>
      </c>
      <c r="S475" t="s">
        <v>28</v>
      </c>
      <c r="T475" t="str">
        <f>"85500701"</f>
        <v>85500701</v>
      </c>
      <c r="U475" t="s">
        <v>1903</v>
      </c>
      <c r="V475" t="s">
        <v>1904</v>
      </c>
    </row>
    <row r="476" spans="1:22" x14ac:dyDescent="0.25">
      <c r="A476" t="str">
        <f t="shared" si="61"/>
        <v>10807</v>
      </c>
      <c r="B476" t="s">
        <v>1891</v>
      </c>
      <c r="C476" t="s">
        <v>1892</v>
      </c>
      <c r="D476" t="s">
        <v>1905</v>
      </c>
      <c r="E476" t="s">
        <v>25</v>
      </c>
      <c r="F476" t="s">
        <v>26</v>
      </c>
      <c r="G476" t="str">
        <f t="shared" si="66"/>
        <v>37</v>
      </c>
      <c r="H476" t="str">
        <f>"12"</f>
        <v>12</v>
      </c>
      <c r="I476" t="s">
        <v>763</v>
      </c>
      <c r="J476">
        <v>30</v>
      </c>
      <c r="K476">
        <v>30</v>
      </c>
      <c r="L476" t="s">
        <v>28</v>
      </c>
      <c r="M476" t="s">
        <v>1906</v>
      </c>
      <c r="N476">
        <v>1</v>
      </c>
      <c r="O476" t="str">
        <f t="shared" si="65"/>
        <v>723</v>
      </c>
      <c r="P476" t="s">
        <v>1902</v>
      </c>
      <c r="Q476" t="s">
        <v>763</v>
      </c>
      <c r="R476" t="s">
        <v>31</v>
      </c>
      <c r="S476" t="s">
        <v>28</v>
      </c>
      <c r="T476" t="str">
        <f>"83300405"</f>
        <v>83300405</v>
      </c>
      <c r="U476" t="s">
        <v>1907</v>
      </c>
      <c r="V476" t="s">
        <v>1908</v>
      </c>
    </row>
    <row r="477" spans="1:22" x14ac:dyDescent="0.25">
      <c r="A477" t="str">
        <f t="shared" si="61"/>
        <v>10807</v>
      </c>
      <c r="B477" t="s">
        <v>1891</v>
      </c>
      <c r="C477" t="s">
        <v>1892</v>
      </c>
      <c r="D477" t="s">
        <v>1909</v>
      </c>
      <c r="E477" t="s">
        <v>25</v>
      </c>
      <c r="F477" t="s">
        <v>26</v>
      </c>
      <c r="G477" t="str">
        <f t="shared" si="66"/>
        <v>37</v>
      </c>
      <c r="H477" t="str">
        <f>"11"</f>
        <v>11</v>
      </c>
      <c r="I477" t="s">
        <v>763</v>
      </c>
      <c r="J477">
        <v>29.753</v>
      </c>
      <c r="K477">
        <v>29.753</v>
      </c>
      <c r="L477" t="s">
        <v>28</v>
      </c>
      <c r="M477" t="s">
        <v>1910</v>
      </c>
      <c r="N477">
        <v>1</v>
      </c>
      <c r="O477" t="str">
        <f>"722"</f>
        <v>722</v>
      </c>
      <c r="P477" t="s">
        <v>1902</v>
      </c>
      <c r="Q477" t="s">
        <v>763</v>
      </c>
      <c r="R477" t="s">
        <v>31</v>
      </c>
      <c r="S477" t="s">
        <v>28</v>
      </c>
      <c r="T477" t="str">
        <f>"41348912"</f>
        <v>41348912</v>
      </c>
      <c r="U477" t="s">
        <v>1911</v>
      </c>
      <c r="V477" t="s">
        <v>1912</v>
      </c>
    </row>
    <row r="478" spans="1:22" x14ac:dyDescent="0.25">
      <c r="A478" t="str">
        <f t="shared" si="61"/>
        <v>10807</v>
      </c>
      <c r="B478" t="s">
        <v>1891</v>
      </c>
      <c r="C478" t="s">
        <v>1892</v>
      </c>
      <c r="D478" t="s">
        <v>1913</v>
      </c>
      <c r="E478" t="s">
        <v>25</v>
      </c>
      <c r="F478" t="s">
        <v>26</v>
      </c>
      <c r="G478" t="str">
        <f t="shared" si="66"/>
        <v>37</v>
      </c>
      <c r="H478" t="str">
        <f>"12"</f>
        <v>12</v>
      </c>
      <c r="I478" t="s">
        <v>37</v>
      </c>
      <c r="J478">
        <v>67.099999999999994</v>
      </c>
      <c r="K478">
        <v>67.099999999999994</v>
      </c>
      <c r="L478" t="s">
        <v>28</v>
      </c>
      <c r="M478" t="s">
        <v>1914</v>
      </c>
      <c r="N478">
        <v>1</v>
      </c>
      <c r="O478" t="str">
        <f>"723"</f>
        <v>723</v>
      </c>
      <c r="P478" t="s">
        <v>1915</v>
      </c>
      <c r="Q478" t="s">
        <v>37</v>
      </c>
      <c r="R478" t="s">
        <v>31</v>
      </c>
      <c r="S478" t="s">
        <v>28</v>
      </c>
      <c r="T478" t="str">
        <f>"83300405"</f>
        <v>83300405</v>
      </c>
      <c r="U478" t="s">
        <v>1907</v>
      </c>
      <c r="V478" t="s">
        <v>1908</v>
      </c>
    </row>
    <row r="479" spans="1:22" x14ac:dyDescent="0.25">
      <c r="A479" t="str">
        <f t="shared" si="61"/>
        <v>10807</v>
      </c>
      <c r="B479" t="s">
        <v>1891</v>
      </c>
      <c r="C479" t="s">
        <v>1892</v>
      </c>
      <c r="D479" t="s">
        <v>1916</v>
      </c>
      <c r="E479" t="s">
        <v>25</v>
      </c>
      <c r="F479" t="s">
        <v>26</v>
      </c>
      <c r="G479" t="str">
        <f t="shared" si="66"/>
        <v>37</v>
      </c>
      <c r="H479" t="str">
        <f>"12"</f>
        <v>12</v>
      </c>
      <c r="I479" t="s">
        <v>763</v>
      </c>
      <c r="J479">
        <v>30</v>
      </c>
      <c r="K479">
        <v>30</v>
      </c>
      <c r="L479" t="s">
        <v>28</v>
      </c>
      <c r="M479" t="s">
        <v>1917</v>
      </c>
      <c r="N479">
        <v>1</v>
      </c>
      <c r="O479" t="str">
        <f>"723"</f>
        <v>723</v>
      </c>
      <c r="P479" t="s">
        <v>1902</v>
      </c>
      <c r="Q479" t="s">
        <v>763</v>
      </c>
      <c r="R479" t="s">
        <v>31</v>
      </c>
      <c r="S479" t="s">
        <v>28</v>
      </c>
      <c r="T479" t="str">
        <f>"83300405"</f>
        <v>83300405</v>
      </c>
      <c r="U479" t="s">
        <v>1907</v>
      </c>
      <c r="V479" t="s">
        <v>1908</v>
      </c>
    </row>
    <row r="480" spans="1:22" x14ac:dyDescent="0.25">
      <c r="A480" t="str">
        <f t="shared" si="61"/>
        <v>10807</v>
      </c>
      <c r="B480" t="s">
        <v>1891</v>
      </c>
      <c r="C480" t="s">
        <v>1892</v>
      </c>
      <c r="D480" t="s">
        <v>1918</v>
      </c>
      <c r="E480" t="s">
        <v>25</v>
      </c>
      <c r="F480" t="s">
        <v>26</v>
      </c>
      <c r="G480" t="str">
        <f t="shared" si="66"/>
        <v>37</v>
      </c>
      <c r="H480" t="str">
        <f>"11"</f>
        <v>11</v>
      </c>
      <c r="I480" t="s">
        <v>37</v>
      </c>
      <c r="J480">
        <v>30</v>
      </c>
      <c r="K480">
        <v>30</v>
      </c>
      <c r="L480" t="s">
        <v>28</v>
      </c>
      <c r="M480" t="s">
        <v>1919</v>
      </c>
      <c r="N480">
        <v>1</v>
      </c>
      <c r="O480" t="str">
        <f>"722"</f>
        <v>722</v>
      </c>
      <c r="P480" t="s">
        <v>1915</v>
      </c>
      <c r="Q480" t="s">
        <v>37</v>
      </c>
      <c r="R480" t="s">
        <v>31</v>
      </c>
      <c r="S480" t="s">
        <v>28</v>
      </c>
      <c r="T480" t="str">
        <f>"10274416"</f>
        <v>10274416</v>
      </c>
      <c r="U480" t="s">
        <v>1920</v>
      </c>
      <c r="V480" t="s">
        <v>1921</v>
      </c>
    </row>
    <row r="481" spans="1:22" x14ac:dyDescent="0.25">
      <c r="A481" t="str">
        <f t="shared" si="61"/>
        <v>10807</v>
      </c>
      <c r="B481" t="s">
        <v>1891</v>
      </c>
      <c r="C481" t="s">
        <v>1892</v>
      </c>
      <c r="D481" t="s">
        <v>1922</v>
      </c>
      <c r="E481" t="s">
        <v>25</v>
      </c>
      <c r="F481" t="s">
        <v>26</v>
      </c>
      <c r="G481" t="str">
        <f t="shared" si="66"/>
        <v>37</v>
      </c>
      <c r="H481" t="str">
        <f t="shared" ref="H481:H486" si="67">"12"</f>
        <v>12</v>
      </c>
      <c r="I481" t="s">
        <v>1460</v>
      </c>
      <c r="J481">
        <v>50</v>
      </c>
      <c r="K481">
        <v>50</v>
      </c>
      <c r="L481" t="s">
        <v>28</v>
      </c>
      <c r="M481" t="s">
        <v>1923</v>
      </c>
      <c r="N481">
        <v>1</v>
      </c>
      <c r="O481" t="str">
        <f t="shared" ref="O481:O486" si="68">"723"</f>
        <v>723</v>
      </c>
      <c r="P481" t="s">
        <v>1924</v>
      </c>
      <c r="Q481" t="s">
        <v>1460</v>
      </c>
      <c r="R481" t="s">
        <v>31</v>
      </c>
      <c r="S481" t="s">
        <v>28</v>
      </c>
      <c r="T481" t="str">
        <f t="shared" ref="T481:T486" si="69">"85500701"</f>
        <v>85500701</v>
      </c>
      <c r="U481" t="s">
        <v>1903</v>
      </c>
      <c r="V481" t="s">
        <v>1904</v>
      </c>
    </row>
    <row r="482" spans="1:22" x14ac:dyDescent="0.25">
      <c r="A482" t="str">
        <f t="shared" si="61"/>
        <v>10807</v>
      </c>
      <c r="B482" t="s">
        <v>1891</v>
      </c>
      <c r="C482" t="s">
        <v>1892</v>
      </c>
      <c r="D482" t="s">
        <v>1925</v>
      </c>
      <c r="E482" t="s">
        <v>25</v>
      </c>
      <c r="F482" t="s">
        <v>26</v>
      </c>
      <c r="G482" t="str">
        <f t="shared" si="66"/>
        <v>37</v>
      </c>
      <c r="H482" t="str">
        <f t="shared" si="67"/>
        <v>12</v>
      </c>
      <c r="I482" t="s">
        <v>1331</v>
      </c>
      <c r="J482">
        <v>50</v>
      </c>
      <c r="K482">
        <v>50</v>
      </c>
      <c r="L482" t="s">
        <v>28</v>
      </c>
      <c r="M482" t="s">
        <v>1926</v>
      </c>
      <c r="N482">
        <v>1</v>
      </c>
      <c r="O482" t="str">
        <f t="shared" si="68"/>
        <v>723</v>
      </c>
      <c r="P482" t="s">
        <v>1927</v>
      </c>
      <c r="Q482" t="s">
        <v>1331</v>
      </c>
      <c r="R482" t="s">
        <v>31</v>
      </c>
      <c r="S482" t="s">
        <v>28</v>
      </c>
      <c r="T482" t="str">
        <f t="shared" si="69"/>
        <v>85500701</v>
      </c>
      <c r="U482" t="s">
        <v>1903</v>
      </c>
      <c r="V482" t="s">
        <v>1904</v>
      </c>
    </row>
    <row r="483" spans="1:22" x14ac:dyDescent="0.25">
      <c r="A483" t="str">
        <f t="shared" si="61"/>
        <v>10807</v>
      </c>
      <c r="B483" t="s">
        <v>1891</v>
      </c>
      <c r="C483" t="s">
        <v>1892</v>
      </c>
      <c r="D483" t="s">
        <v>1928</v>
      </c>
      <c r="E483" t="s">
        <v>25</v>
      </c>
      <c r="F483" t="s">
        <v>26</v>
      </c>
      <c r="G483" t="str">
        <f t="shared" si="66"/>
        <v>37</v>
      </c>
      <c r="H483" t="str">
        <f t="shared" si="67"/>
        <v>12</v>
      </c>
      <c r="I483" t="s">
        <v>835</v>
      </c>
      <c r="J483">
        <v>70</v>
      </c>
      <c r="K483">
        <v>70</v>
      </c>
      <c r="L483" t="s">
        <v>28</v>
      </c>
      <c r="M483" t="s">
        <v>1929</v>
      </c>
      <c r="N483">
        <v>1</v>
      </c>
      <c r="O483" t="str">
        <f t="shared" si="68"/>
        <v>723</v>
      </c>
      <c r="P483" t="s">
        <v>1930</v>
      </c>
      <c r="Q483" t="s">
        <v>835</v>
      </c>
      <c r="R483" t="s">
        <v>31</v>
      </c>
      <c r="S483" t="s">
        <v>28</v>
      </c>
      <c r="T483" t="str">
        <f t="shared" si="69"/>
        <v>85500701</v>
      </c>
      <c r="U483" t="s">
        <v>1903</v>
      </c>
      <c r="V483" t="s">
        <v>1904</v>
      </c>
    </row>
    <row r="484" spans="1:22" x14ac:dyDescent="0.25">
      <c r="A484" t="str">
        <f t="shared" si="61"/>
        <v>10807</v>
      </c>
      <c r="B484" t="s">
        <v>1891</v>
      </c>
      <c r="C484" t="s">
        <v>1892</v>
      </c>
      <c r="D484" t="s">
        <v>1931</v>
      </c>
      <c r="E484" t="s">
        <v>25</v>
      </c>
      <c r="F484" t="s">
        <v>26</v>
      </c>
      <c r="G484" t="str">
        <f t="shared" si="66"/>
        <v>37</v>
      </c>
      <c r="H484" t="str">
        <f t="shared" si="67"/>
        <v>12</v>
      </c>
      <c r="I484" t="s">
        <v>27</v>
      </c>
      <c r="J484">
        <v>95</v>
      </c>
      <c r="K484">
        <v>95</v>
      </c>
      <c r="L484" t="s">
        <v>28</v>
      </c>
      <c r="M484" t="s">
        <v>1932</v>
      </c>
      <c r="N484">
        <v>1</v>
      </c>
      <c r="O484" t="str">
        <f t="shared" si="68"/>
        <v>723</v>
      </c>
      <c r="P484" t="s">
        <v>1933</v>
      </c>
      <c r="Q484" t="s">
        <v>27</v>
      </c>
      <c r="R484" t="s">
        <v>31</v>
      </c>
      <c r="S484" t="s">
        <v>28</v>
      </c>
      <c r="T484" t="str">
        <f t="shared" si="69"/>
        <v>85500701</v>
      </c>
      <c r="U484" t="s">
        <v>1903</v>
      </c>
      <c r="V484" t="s">
        <v>1904</v>
      </c>
    </row>
    <row r="485" spans="1:22" x14ac:dyDescent="0.25">
      <c r="A485" t="str">
        <f t="shared" si="61"/>
        <v>10807</v>
      </c>
      <c r="B485" t="s">
        <v>1891</v>
      </c>
      <c r="C485" t="s">
        <v>1892</v>
      </c>
      <c r="D485" t="s">
        <v>1934</v>
      </c>
      <c r="E485" t="s">
        <v>25</v>
      </c>
      <c r="F485" t="s">
        <v>26</v>
      </c>
      <c r="G485" t="str">
        <f t="shared" si="66"/>
        <v>37</v>
      </c>
      <c r="H485" t="str">
        <f t="shared" si="67"/>
        <v>12</v>
      </c>
      <c r="I485" t="s">
        <v>1331</v>
      </c>
      <c r="J485">
        <v>20</v>
      </c>
      <c r="K485">
        <v>20</v>
      </c>
      <c r="L485" t="s">
        <v>28</v>
      </c>
      <c r="M485" t="s">
        <v>1935</v>
      </c>
      <c r="N485">
        <v>1</v>
      </c>
      <c r="O485" t="str">
        <f t="shared" si="68"/>
        <v>723</v>
      </c>
      <c r="P485" t="s">
        <v>1927</v>
      </c>
      <c r="Q485" t="s">
        <v>1331</v>
      </c>
      <c r="R485" t="s">
        <v>31</v>
      </c>
      <c r="S485" t="s">
        <v>28</v>
      </c>
      <c r="T485" t="str">
        <f t="shared" si="69"/>
        <v>85500701</v>
      </c>
      <c r="U485" t="s">
        <v>1903</v>
      </c>
      <c r="V485" t="s">
        <v>1904</v>
      </c>
    </row>
    <row r="486" spans="1:22" x14ac:dyDescent="0.25">
      <c r="A486" t="str">
        <f t="shared" si="61"/>
        <v>10807</v>
      </c>
      <c r="B486" t="s">
        <v>1891</v>
      </c>
      <c r="C486" t="s">
        <v>1892</v>
      </c>
      <c r="D486" t="s">
        <v>1936</v>
      </c>
      <c r="E486" t="s">
        <v>25</v>
      </c>
      <c r="F486" t="s">
        <v>26</v>
      </c>
      <c r="G486" t="str">
        <f t="shared" si="66"/>
        <v>37</v>
      </c>
      <c r="H486" t="str">
        <f t="shared" si="67"/>
        <v>12</v>
      </c>
      <c r="I486" t="s">
        <v>1331</v>
      </c>
      <c r="J486">
        <v>20</v>
      </c>
      <c r="K486">
        <v>20</v>
      </c>
      <c r="L486" t="s">
        <v>28</v>
      </c>
      <c r="M486" t="s">
        <v>1937</v>
      </c>
      <c r="N486">
        <v>1</v>
      </c>
      <c r="O486" t="str">
        <f t="shared" si="68"/>
        <v>723</v>
      </c>
      <c r="P486" t="s">
        <v>1927</v>
      </c>
      <c r="Q486" t="s">
        <v>1331</v>
      </c>
      <c r="R486" t="s">
        <v>31</v>
      </c>
      <c r="S486" t="s">
        <v>28</v>
      </c>
      <c r="T486" t="str">
        <f t="shared" si="69"/>
        <v>85500701</v>
      </c>
      <c r="U486" t="s">
        <v>1903</v>
      </c>
      <c r="V486" t="s">
        <v>1904</v>
      </c>
    </row>
    <row r="487" spans="1:22" x14ac:dyDescent="0.25">
      <c r="A487" t="str">
        <f t="shared" si="61"/>
        <v>10807</v>
      </c>
      <c r="B487" t="s">
        <v>1891</v>
      </c>
      <c r="C487" t="s">
        <v>1892</v>
      </c>
      <c r="D487" t="s">
        <v>1938</v>
      </c>
      <c r="E487" t="s">
        <v>25</v>
      </c>
      <c r="F487" t="s">
        <v>26</v>
      </c>
      <c r="G487" t="str">
        <f t="shared" si="66"/>
        <v>37</v>
      </c>
      <c r="H487" t="str">
        <f>"11"</f>
        <v>11</v>
      </c>
      <c r="I487" t="s">
        <v>37</v>
      </c>
      <c r="J487">
        <v>90</v>
      </c>
      <c r="K487">
        <v>90</v>
      </c>
      <c r="L487" t="s">
        <v>28</v>
      </c>
      <c r="M487" t="s">
        <v>1939</v>
      </c>
      <c r="N487">
        <v>1</v>
      </c>
      <c r="O487" t="str">
        <f>"722"</f>
        <v>722</v>
      </c>
      <c r="P487" t="s">
        <v>1915</v>
      </c>
      <c r="Q487" t="s">
        <v>37</v>
      </c>
      <c r="R487" t="s">
        <v>31</v>
      </c>
      <c r="S487" t="s">
        <v>28</v>
      </c>
      <c r="T487" t="str">
        <f>"36979229"</f>
        <v>36979229</v>
      </c>
      <c r="U487" t="s">
        <v>1940</v>
      </c>
      <c r="V487" t="s">
        <v>1941</v>
      </c>
    </row>
    <row r="488" spans="1:22" x14ac:dyDescent="0.25">
      <c r="A488" t="str">
        <f t="shared" si="61"/>
        <v>10807</v>
      </c>
      <c r="B488" t="s">
        <v>1891</v>
      </c>
      <c r="C488" t="s">
        <v>1892</v>
      </c>
      <c r="D488" t="s">
        <v>1942</v>
      </c>
      <c r="E488" t="s">
        <v>25</v>
      </c>
      <c r="F488" t="s">
        <v>26</v>
      </c>
      <c r="G488" t="str">
        <f t="shared" si="66"/>
        <v>37</v>
      </c>
      <c r="H488" t="str">
        <f>"11"</f>
        <v>11</v>
      </c>
      <c r="I488" t="s">
        <v>37</v>
      </c>
      <c r="J488">
        <v>20</v>
      </c>
      <c r="K488">
        <v>20</v>
      </c>
      <c r="L488" t="s">
        <v>28</v>
      </c>
      <c r="M488" t="s">
        <v>1943</v>
      </c>
      <c r="N488">
        <v>1</v>
      </c>
      <c r="O488" t="str">
        <f t="shared" ref="O488:O497" si="70">"723"</f>
        <v>723</v>
      </c>
      <c r="P488" t="s">
        <v>1915</v>
      </c>
      <c r="Q488" t="s">
        <v>37</v>
      </c>
      <c r="R488" t="s">
        <v>31</v>
      </c>
      <c r="S488" t="s">
        <v>28</v>
      </c>
      <c r="T488" t="str">
        <f>"25962637"</f>
        <v>25962637</v>
      </c>
      <c r="U488" t="s">
        <v>1944</v>
      </c>
      <c r="V488" t="s">
        <v>1945</v>
      </c>
    </row>
    <row r="489" spans="1:22" x14ac:dyDescent="0.25">
      <c r="A489" t="str">
        <f t="shared" si="61"/>
        <v>10807</v>
      </c>
      <c r="B489" t="s">
        <v>1891</v>
      </c>
      <c r="C489" t="s">
        <v>1892</v>
      </c>
      <c r="D489" t="s">
        <v>1946</v>
      </c>
      <c r="E489" t="s">
        <v>25</v>
      </c>
      <c r="F489" t="s">
        <v>26</v>
      </c>
      <c r="G489" t="str">
        <f t="shared" si="66"/>
        <v>37</v>
      </c>
      <c r="H489" t="str">
        <f t="shared" ref="H489:H497" si="71">"12"</f>
        <v>12</v>
      </c>
      <c r="I489" t="s">
        <v>1947</v>
      </c>
      <c r="J489">
        <v>30</v>
      </c>
      <c r="K489">
        <v>30</v>
      </c>
      <c r="L489" t="s">
        <v>28</v>
      </c>
      <c r="M489" t="s">
        <v>1948</v>
      </c>
      <c r="N489">
        <v>1</v>
      </c>
      <c r="O489" t="str">
        <f t="shared" si="70"/>
        <v>723</v>
      </c>
      <c r="P489" t="s">
        <v>1949</v>
      </c>
      <c r="Q489" t="s">
        <v>1947</v>
      </c>
      <c r="R489" t="s">
        <v>31</v>
      </c>
      <c r="S489" t="s">
        <v>28</v>
      </c>
      <c r="T489" t="str">
        <f>"83300405"</f>
        <v>83300405</v>
      </c>
      <c r="U489" t="s">
        <v>1907</v>
      </c>
      <c r="V489" t="s">
        <v>1908</v>
      </c>
    </row>
    <row r="490" spans="1:22" x14ac:dyDescent="0.25">
      <c r="A490" t="str">
        <f t="shared" si="61"/>
        <v>10807</v>
      </c>
      <c r="B490" t="s">
        <v>1891</v>
      </c>
      <c r="C490" t="s">
        <v>1892</v>
      </c>
      <c r="D490" t="s">
        <v>1950</v>
      </c>
      <c r="E490" t="s">
        <v>25</v>
      </c>
      <c r="F490" t="s">
        <v>26</v>
      </c>
      <c r="G490" t="str">
        <f t="shared" si="66"/>
        <v>37</v>
      </c>
      <c r="H490" t="str">
        <f t="shared" si="71"/>
        <v>12</v>
      </c>
      <c r="I490" t="s">
        <v>1331</v>
      </c>
      <c r="J490">
        <v>20</v>
      </c>
      <c r="K490">
        <v>20</v>
      </c>
      <c r="L490" t="s">
        <v>28</v>
      </c>
      <c r="M490" t="s">
        <v>1951</v>
      </c>
      <c r="N490">
        <v>1</v>
      </c>
      <c r="O490" t="str">
        <f t="shared" si="70"/>
        <v>723</v>
      </c>
      <c r="P490" t="s">
        <v>1927</v>
      </c>
      <c r="Q490" t="s">
        <v>1331</v>
      </c>
      <c r="R490" t="s">
        <v>31</v>
      </c>
      <c r="S490" t="s">
        <v>28</v>
      </c>
      <c r="T490" t="str">
        <f t="shared" ref="T490:T497" si="72">"85500701"</f>
        <v>85500701</v>
      </c>
      <c r="U490" t="s">
        <v>1903</v>
      </c>
      <c r="V490" t="s">
        <v>1904</v>
      </c>
    </row>
    <row r="491" spans="1:22" x14ac:dyDescent="0.25">
      <c r="A491" t="str">
        <f t="shared" si="61"/>
        <v>10807</v>
      </c>
      <c r="B491" t="s">
        <v>1891</v>
      </c>
      <c r="C491" t="s">
        <v>1892</v>
      </c>
      <c r="D491" t="s">
        <v>1952</v>
      </c>
      <c r="E491" t="s">
        <v>25</v>
      </c>
      <c r="F491" t="s">
        <v>26</v>
      </c>
      <c r="G491" t="str">
        <f t="shared" si="66"/>
        <v>37</v>
      </c>
      <c r="H491" t="str">
        <f t="shared" si="71"/>
        <v>12</v>
      </c>
      <c r="I491" t="s">
        <v>763</v>
      </c>
      <c r="J491">
        <v>20</v>
      </c>
      <c r="K491">
        <v>20</v>
      </c>
      <c r="L491" t="s">
        <v>28</v>
      </c>
      <c r="M491" t="s">
        <v>1953</v>
      </c>
      <c r="N491">
        <v>1</v>
      </c>
      <c r="O491" t="str">
        <f t="shared" si="70"/>
        <v>723</v>
      </c>
      <c r="P491" t="s">
        <v>1902</v>
      </c>
      <c r="Q491" t="s">
        <v>763</v>
      </c>
      <c r="R491" t="s">
        <v>31</v>
      </c>
      <c r="S491" t="s">
        <v>28</v>
      </c>
      <c r="T491" t="str">
        <f t="shared" si="72"/>
        <v>85500701</v>
      </c>
      <c r="U491" t="s">
        <v>1903</v>
      </c>
      <c r="V491" t="s">
        <v>1904</v>
      </c>
    </row>
    <row r="492" spans="1:22" x14ac:dyDescent="0.25">
      <c r="A492" t="str">
        <f t="shared" si="61"/>
        <v>10807</v>
      </c>
      <c r="B492" t="s">
        <v>1891</v>
      </c>
      <c r="C492" t="s">
        <v>1892</v>
      </c>
      <c r="D492" t="s">
        <v>1954</v>
      </c>
      <c r="E492" t="s">
        <v>25</v>
      </c>
      <c r="F492" t="s">
        <v>26</v>
      </c>
      <c r="G492" t="str">
        <f t="shared" si="66"/>
        <v>37</v>
      </c>
      <c r="H492" t="str">
        <f t="shared" si="71"/>
        <v>12</v>
      </c>
      <c r="I492" t="s">
        <v>1331</v>
      </c>
      <c r="J492">
        <v>20</v>
      </c>
      <c r="K492">
        <v>20</v>
      </c>
      <c r="L492" t="s">
        <v>28</v>
      </c>
      <c r="M492" t="s">
        <v>1955</v>
      </c>
      <c r="N492">
        <v>1</v>
      </c>
      <c r="O492" t="str">
        <f t="shared" si="70"/>
        <v>723</v>
      </c>
      <c r="P492" t="s">
        <v>1927</v>
      </c>
      <c r="Q492" t="s">
        <v>1331</v>
      </c>
      <c r="R492" t="s">
        <v>31</v>
      </c>
      <c r="S492" t="s">
        <v>28</v>
      </c>
      <c r="T492" t="str">
        <f t="shared" si="72"/>
        <v>85500701</v>
      </c>
      <c r="U492" t="s">
        <v>1903</v>
      </c>
      <c r="V492" t="s">
        <v>1904</v>
      </c>
    </row>
    <row r="493" spans="1:22" x14ac:dyDescent="0.25">
      <c r="A493" t="str">
        <f t="shared" si="61"/>
        <v>10807</v>
      </c>
      <c r="B493" t="s">
        <v>1891</v>
      </c>
      <c r="C493" t="s">
        <v>1892</v>
      </c>
      <c r="D493" t="s">
        <v>1956</v>
      </c>
      <c r="E493" t="s">
        <v>25</v>
      </c>
      <c r="F493" t="s">
        <v>26</v>
      </c>
      <c r="G493" t="str">
        <f t="shared" si="66"/>
        <v>37</v>
      </c>
      <c r="H493" t="str">
        <f t="shared" si="71"/>
        <v>12</v>
      </c>
      <c r="I493" t="s">
        <v>1331</v>
      </c>
      <c r="J493">
        <v>10.5</v>
      </c>
      <c r="K493">
        <v>10.5</v>
      </c>
      <c r="L493" t="s">
        <v>28</v>
      </c>
      <c r="M493" t="s">
        <v>1957</v>
      </c>
      <c r="N493">
        <v>1</v>
      </c>
      <c r="O493" t="str">
        <f t="shared" si="70"/>
        <v>723</v>
      </c>
      <c r="P493" t="s">
        <v>1927</v>
      </c>
      <c r="Q493" t="s">
        <v>1331</v>
      </c>
      <c r="R493" t="s">
        <v>31</v>
      </c>
      <c r="S493" t="s">
        <v>28</v>
      </c>
      <c r="T493" t="str">
        <f t="shared" si="72"/>
        <v>85500701</v>
      </c>
      <c r="U493" t="s">
        <v>1903</v>
      </c>
      <c r="V493" t="s">
        <v>1904</v>
      </c>
    </row>
    <row r="494" spans="1:22" x14ac:dyDescent="0.25">
      <c r="A494" t="str">
        <f t="shared" si="61"/>
        <v>10807</v>
      </c>
      <c r="B494" t="s">
        <v>1891</v>
      </c>
      <c r="C494" t="s">
        <v>1892</v>
      </c>
      <c r="D494" t="s">
        <v>1958</v>
      </c>
      <c r="E494" t="s">
        <v>25</v>
      </c>
      <c r="F494" t="s">
        <v>26</v>
      </c>
      <c r="G494" t="str">
        <f t="shared" si="66"/>
        <v>37</v>
      </c>
      <c r="H494" t="str">
        <f t="shared" si="71"/>
        <v>12</v>
      </c>
      <c r="I494" t="s">
        <v>1331</v>
      </c>
      <c r="J494">
        <v>20</v>
      </c>
      <c r="K494">
        <v>20</v>
      </c>
      <c r="L494" t="s">
        <v>28</v>
      </c>
      <c r="M494" t="s">
        <v>1959</v>
      </c>
      <c r="N494">
        <v>1</v>
      </c>
      <c r="O494" t="str">
        <f t="shared" si="70"/>
        <v>723</v>
      </c>
      <c r="P494" t="s">
        <v>1927</v>
      </c>
      <c r="Q494" t="s">
        <v>1331</v>
      </c>
      <c r="R494" t="s">
        <v>31</v>
      </c>
      <c r="S494" t="s">
        <v>28</v>
      </c>
      <c r="T494" t="str">
        <f t="shared" si="72"/>
        <v>85500701</v>
      </c>
      <c r="U494" t="s">
        <v>1903</v>
      </c>
      <c r="V494" t="s">
        <v>1904</v>
      </c>
    </row>
    <row r="495" spans="1:22" x14ac:dyDescent="0.25">
      <c r="A495" t="str">
        <f t="shared" si="61"/>
        <v>10807</v>
      </c>
      <c r="B495" t="s">
        <v>1891</v>
      </c>
      <c r="C495" t="s">
        <v>1892</v>
      </c>
      <c r="D495" t="s">
        <v>1960</v>
      </c>
      <c r="E495" t="s">
        <v>25</v>
      </c>
      <c r="F495" t="s">
        <v>26</v>
      </c>
      <c r="G495" t="str">
        <f t="shared" si="66"/>
        <v>37</v>
      </c>
      <c r="H495" t="str">
        <f t="shared" si="71"/>
        <v>12</v>
      </c>
      <c r="I495" t="s">
        <v>1331</v>
      </c>
      <c r="J495">
        <v>20</v>
      </c>
      <c r="K495">
        <v>20</v>
      </c>
      <c r="L495" t="s">
        <v>28</v>
      </c>
      <c r="M495" t="s">
        <v>1961</v>
      </c>
      <c r="N495">
        <v>1</v>
      </c>
      <c r="O495" t="str">
        <f t="shared" si="70"/>
        <v>723</v>
      </c>
      <c r="P495" t="s">
        <v>1927</v>
      </c>
      <c r="Q495" t="s">
        <v>1331</v>
      </c>
      <c r="R495" t="s">
        <v>31</v>
      </c>
      <c r="S495" t="s">
        <v>28</v>
      </c>
      <c r="T495" t="str">
        <f t="shared" si="72"/>
        <v>85500701</v>
      </c>
      <c r="U495" t="s">
        <v>1903</v>
      </c>
      <c r="V495" t="s">
        <v>1904</v>
      </c>
    </row>
    <row r="496" spans="1:22" x14ac:dyDescent="0.25">
      <c r="A496" t="str">
        <f t="shared" si="61"/>
        <v>10807</v>
      </c>
      <c r="B496" t="s">
        <v>1891</v>
      </c>
      <c r="C496" t="s">
        <v>1892</v>
      </c>
      <c r="D496" t="s">
        <v>1962</v>
      </c>
      <c r="E496" t="s">
        <v>25</v>
      </c>
      <c r="F496" t="s">
        <v>26</v>
      </c>
      <c r="G496" t="str">
        <f t="shared" si="66"/>
        <v>37</v>
      </c>
      <c r="H496" t="str">
        <f t="shared" si="71"/>
        <v>12</v>
      </c>
      <c r="I496" t="s">
        <v>1331</v>
      </c>
      <c r="J496">
        <v>200</v>
      </c>
      <c r="K496">
        <v>200</v>
      </c>
      <c r="L496" t="s">
        <v>28</v>
      </c>
      <c r="M496" t="s">
        <v>1963</v>
      </c>
      <c r="N496">
        <v>1</v>
      </c>
      <c r="O496" t="str">
        <f t="shared" si="70"/>
        <v>723</v>
      </c>
      <c r="P496" t="s">
        <v>1927</v>
      </c>
      <c r="Q496" t="s">
        <v>1331</v>
      </c>
      <c r="R496" t="s">
        <v>31</v>
      </c>
      <c r="S496" t="s">
        <v>28</v>
      </c>
      <c r="T496" t="str">
        <f t="shared" si="72"/>
        <v>85500701</v>
      </c>
      <c r="U496" t="s">
        <v>1903</v>
      </c>
      <c r="V496" t="s">
        <v>1904</v>
      </c>
    </row>
    <row r="497" spans="1:22" x14ac:dyDescent="0.25">
      <c r="A497" t="str">
        <f t="shared" si="61"/>
        <v>10807</v>
      </c>
      <c r="B497" t="s">
        <v>1891</v>
      </c>
      <c r="C497" t="s">
        <v>1892</v>
      </c>
      <c r="D497" t="s">
        <v>1964</v>
      </c>
      <c r="E497" t="s">
        <v>25</v>
      </c>
      <c r="F497" t="s">
        <v>26</v>
      </c>
      <c r="G497" t="str">
        <f t="shared" si="66"/>
        <v>37</v>
      </c>
      <c r="H497" t="str">
        <f t="shared" si="71"/>
        <v>12</v>
      </c>
      <c r="I497" t="s">
        <v>1331</v>
      </c>
      <c r="J497">
        <v>20</v>
      </c>
      <c r="K497">
        <v>20</v>
      </c>
      <c r="L497" t="s">
        <v>28</v>
      </c>
      <c r="M497" t="s">
        <v>1965</v>
      </c>
      <c r="N497">
        <v>1</v>
      </c>
      <c r="O497" t="str">
        <f t="shared" si="70"/>
        <v>723</v>
      </c>
      <c r="P497" t="s">
        <v>1927</v>
      </c>
      <c r="Q497" t="s">
        <v>1331</v>
      </c>
      <c r="R497" t="s">
        <v>31</v>
      </c>
      <c r="S497" t="s">
        <v>28</v>
      </c>
      <c r="T497" t="str">
        <f t="shared" si="72"/>
        <v>85500701</v>
      </c>
      <c r="U497" t="s">
        <v>1903</v>
      </c>
      <c r="V497" t="s">
        <v>1904</v>
      </c>
    </row>
    <row r="498" spans="1:22" x14ac:dyDescent="0.25">
      <c r="A498" t="str">
        <f t="shared" si="61"/>
        <v>10807</v>
      </c>
      <c r="B498" t="s">
        <v>1891</v>
      </c>
      <c r="C498" t="s">
        <v>1892</v>
      </c>
      <c r="D498" t="s">
        <v>1966</v>
      </c>
      <c r="E498" t="s">
        <v>25</v>
      </c>
      <c r="F498" t="s">
        <v>26</v>
      </c>
      <c r="G498" t="str">
        <f t="shared" si="66"/>
        <v>37</v>
      </c>
      <c r="H498" t="str">
        <f>"11"</f>
        <v>11</v>
      </c>
      <c r="I498" t="s">
        <v>763</v>
      </c>
      <c r="J498">
        <v>8.5</v>
      </c>
      <c r="K498">
        <v>8.5</v>
      </c>
      <c r="L498" t="s">
        <v>28</v>
      </c>
      <c r="M498" t="s">
        <v>1967</v>
      </c>
      <c r="N498">
        <v>1</v>
      </c>
      <c r="O498" t="str">
        <f>"722"</f>
        <v>722</v>
      </c>
      <c r="P498" t="s">
        <v>1902</v>
      </c>
      <c r="Q498" t="s">
        <v>763</v>
      </c>
      <c r="R498" t="s">
        <v>31</v>
      </c>
      <c r="S498" t="s">
        <v>28</v>
      </c>
      <c r="T498" t="str">
        <f>"17958478"</f>
        <v>17958478</v>
      </c>
      <c r="U498" t="s">
        <v>1968</v>
      </c>
      <c r="V498" t="s">
        <v>1969</v>
      </c>
    </row>
    <row r="499" spans="1:22" x14ac:dyDescent="0.25">
      <c r="A499" t="str">
        <f t="shared" si="61"/>
        <v>10807</v>
      </c>
      <c r="B499" t="s">
        <v>1891</v>
      </c>
      <c r="C499" t="s">
        <v>1892</v>
      </c>
      <c r="D499" t="s">
        <v>1970</v>
      </c>
      <c r="E499" t="s">
        <v>25</v>
      </c>
      <c r="F499" t="s">
        <v>26</v>
      </c>
      <c r="G499" t="str">
        <f t="shared" si="66"/>
        <v>37</v>
      </c>
      <c r="H499" t="str">
        <f>"12"</f>
        <v>12</v>
      </c>
      <c r="I499" t="s">
        <v>763</v>
      </c>
      <c r="J499">
        <v>30</v>
      </c>
      <c r="K499">
        <v>30</v>
      </c>
      <c r="L499" t="s">
        <v>28</v>
      </c>
      <c r="M499" t="s">
        <v>1971</v>
      </c>
      <c r="N499">
        <v>1</v>
      </c>
      <c r="O499" t="str">
        <f>"723"</f>
        <v>723</v>
      </c>
      <c r="P499" t="s">
        <v>1902</v>
      </c>
      <c r="Q499" t="s">
        <v>763</v>
      </c>
      <c r="R499" t="s">
        <v>31</v>
      </c>
      <c r="S499" t="s">
        <v>28</v>
      </c>
      <c r="T499" t="str">
        <f>"83300405"</f>
        <v>83300405</v>
      </c>
      <c r="U499" t="s">
        <v>1907</v>
      </c>
      <c r="V499" t="s">
        <v>1908</v>
      </c>
    </row>
    <row r="500" spans="1:22" x14ac:dyDescent="0.25">
      <c r="A500" t="str">
        <f t="shared" si="61"/>
        <v>10807</v>
      </c>
      <c r="B500" t="s">
        <v>1891</v>
      </c>
      <c r="C500" t="s">
        <v>1892</v>
      </c>
      <c r="D500" t="s">
        <v>1972</v>
      </c>
      <c r="E500" t="s">
        <v>25</v>
      </c>
      <c r="F500" t="s">
        <v>26</v>
      </c>
      <c r="G500" t="str">
        <f t="shared" si="66"/>
        <v>37</v>
      </c>
      <c r="H500" t="str">
        <f>"12"</f>
        <v>12</v>
      </c>
      <c r="I500" t="s">
        <v>763</v>
      </c>
      <c r="J500">
        <v>80.501000000000005</v>
      </c>
      <c r="K500">
        <v>80.501000000000005</v>
      </c>
      <c r="L500" t="s">
        <v>28</v>
      </c>
      <c r="M500" t="s">
        <v>1973</v>
      </c>
      <c r="N500">
        <v>1</v>
      </c>
      <c r="O500" t="str">
        <f>"723"</f>
        <v>723</v>
      </c>
      <c r="P500" t="s">
        <v>1902</v>
      </c>
      <c r="Q500" t="s">
        <v>763</v>
      </c>
      <c r="R500" t="s">
        <v>31</v>
      </c>
      <c r="S500" t="s">
        <v>28</v>
      </c>
      <c r="T500" t="str">
        <f>"83300405"</f>
        <v>83300405</v>
      </c>
      <c r="U500" t="s">
        <v>1907</v>
      </c>
      <c r="V500" t="s">
        <v>1908</v>
      </c>
    </row>
    <row r="501" spans="1:22" x14ac:dyDescent="0.25">
      <c r="A501" t="str">
        <f t="shared" si="61"/>
        <v>10807</v>
      </c>
      <c r="B501" t="s">
        <v>1891</v>
      </c>
      <c r="C501" t="s">
        <v>1892</v>
      </c>
      <c r="D501" t="s">
        <v>1974</v>
      </c>
      <c r="E501" t="s">
        <v>25</v>
      </c>
      <c r="F501" t="s">
        <v>26</v>
      </c>
      <c r="G501" t="str">
        <f t="shared" si="66"/>
        <v>37</v>
      </c>
      <c r="H501" t="str">
        <f>"11"</f>
        <v>11</v>
      </c>
      <c r="I501" t="s">
        <v>763</v>
      </c>
      <c r="J501">
        <v>260.57</v>
      </c>
      <c r="K501">
        <v>260.57</v>
      </c>
      <c r="L501" t="s">
        <v>28</v>
      </c>
      <c r="M501" t="s">
        <v>1975</v>
      </c>
      <c r="N501">
        <v>1</v>
      </c>
      <c r="O501" t="str">
        <f>"722"</f>
        <v>722</v>
      </c>
      <c r="P501" t="s">
        <v>1902</v>
      </c>
      <c r="Q501" t="s">
        <v>763</v>
      </c>
      <c r="R501" t="s">
        <v>31</v>
      </c>
      <c r="S501" t="s">
        <v>28</v>
      </c>
      <c r="T501" t="str">
        <f>"26042188"</f>
        <v>26042188</v>
      </c>
      <c r="U501" t="s">
        <v>1976</v>
      </c>
      <c r="V501" t="s">
        <v>1977</v>
      </c>
    </row>
    <row r="502" spans="1:22" x14ac:dyDescent="0.25">
      <c r="A502" t="str">
        <f t="shared" si="61"/>
        <v>10807</v>
      </c>
      <c r="B502" t="s">
        <v>1891</v>
      </c>
      <c r="C502" t="s">
        <v>1892</v>
      </c>
      <c r="D502" t="s">
        <v>1978</v>
      </c>
      <c r="E502" t="s">
        <v>25</v>
      </c>
      <c r="F502" t="s">
        <v>26</v>
      </c>
      <c r="G502" t="str">
        <f t="shared" si="66"/>
        <v>37</v>
      </c>
      <c r="H502" t="str">
        <f>"11"</f>
        <v>11</v>
      </c>
      <c r="I502" t="s">
        <v>763</v>
      </c>
      <c r="J502">
        <v>23.5</v>
      </c>
      <c r="K502">
        <v>23.5</v>
      </c>
      <c r="L502" t="s">
        <v>28</v>
      </c>
      <c r="M502" t="s">
        <v>1979</v>
      </c>
      <c r="N502">
        <v>1</v>
      </c>
      <c r="O502" t="str">
        <f>"722"</f>
        <v>722</v>
      </c>
      <c r="P502" t="s">
        <v>1902</v>
      </c>
      <c r="Q502" t="s">
        <v>763</v>
      </c>
      <c r="R502" t="s">
        <v>31</v>
      </c>
      <c r="S502" t="s">
        <v>28</v>
      </c>
      <c r="T502" t="str">
        <f>"80916027"</f>
        <v>80916027</v>
      </c>
      <c r="U502" t="s">
        <v>1980</v>
      </c>
      <c r="V502" t="s">
        <v>1981</v>
      </c>
    </row>
    <row r="503" spans="1:22" x14ac:dyDescent="0.25">
      <c r="A503" t="str">
        <f t="shared" si="61"/>
        <v>10807</v>
      </c>
      <c r="B503" t="s">
        <v>1891</v>
      </c>
      <c r="C503" t="s">
        <v>1892</v>
      </c>
      <c r="D503" t="s">
        <v>1982</v>
      </c>
      <c r="E503" t="s">
        <v>25</v>
      </c>
      <c r="F503" t="s">
        <v>26</v>
      </c>
      <c r="G503" t="str">
        <f t="shared" si="66"/>
        <v>37</v>
      </c>
      <c r="H503" t="str">
        <f>"12"</f>
        <v>12</v>
      </c>
      <c r="I503" t="s">
        <v>1331</v>
      </c>
      <c r="J503">
        <v>236.64</v>
      </c>
      <c r="K503">
        <v>236.64</v>
      </c>
      <c r="L503" t="s">
        <v>28</v>
      </c>
      <c r="M503" t="s">
        <v>1983</v>
      </c>
      <c r="N503">
        <v>1</v>
      </c>
      <c r="O503" t="str">
        <f>"723"</f>
        <v>723</v>
      </c>
      <c r="P503" t="s">
        <v>1927</v>
      </c>
      <c r="Q503" t="s">
        <v>1331</v>
      </c>
      <c r="R503" t="s">
        <v>31</v>
      </c>
      <c r="S503" t="s">
        <v>28</v>
      </c>
      <c r="T503" t="str">
        <f>"85500701"</f>
        <v>85500701</v>
      </c>
      <c r="U503" t="s">
        <v>1903</v>
      </c>
      <c r="V503" t="s">
        <v>1904</v>
      </c>
    </row>
    <row r="504" spans="1:22" x14ac:dyDescent="0.25">
      <c r="A504" t="str">
        <f t="shared" si="61"/>
        <v>10807</v>
      </c>
      <c r="B504" t="s">
        <v>1891</v>
      </c>
      <c r="C504" t="s">
        <v>1892</v>
      </c>
      <c r="D504" t="s">
        <v>1984</v>
      </c>
      <c r="E504" t="s">
        <v>25</v>
      </c>
      <c r="F504" t="s">
        <v>26</v>
      </c>
      <c r="G504" t="str">
        <f t="shared" si="66"/>
        <v>37</v>
      </c>
      <c r="H504" t="str">
        <f>"12"</f>
        <v>12</v>
      </c>
      <c r="I504" t="s">
        <v>763</v>
      </c>
      <c r="J504">
        <v>100</v>
      </c>
      <c r="K504">
        <v>100</v>
      </c>
      <c r="L504" t="s">
        <v>28</v>
      </c>
      <c r="M504" t="s">
        <v>1985</v>
      </c>
      <c r="N504">
        <v>1</v>
      </c>
      <c r="O504" t="str">
        <f>"723"</f>
        <v>723</v>
      </c>
      <c r="P504" t="s">
        <v>1902</v>
      </c>
      <c r="Q504" t="s">
        <v>763</v>
      </c>
      <c r="R504" t="s">
        <v>31</v>
      </c>
      <c r="S504" t="s">
        <v>28</v>
      </c>
      <c r="T504" t="str">
        <f>"85500701"</f>
        <v>85500701</v>
      </c>
      <c r="U504" t="s">
        <v>1903</v>
      </c>
      <c r="V504" t="s">
        <v>1904</v>
      </c>
    </row>
    <row r="505" spans="1:22" x14ac:dyDescent="0.25">
      <c r="A505" t="str">
        <f t="shared" si="61"/>
        <v>10807</v>
      </c>
      <c r="B505" t="s">
        <v>1891</v>
      </c>
      <c r="C505" t="s">
        <v>1892</v>
      </c>
      <c r="D505" t="s">
        <v>1986</v>
      </c>
      <c r="E505" t="s">
        <v>25</v>
      </c>
      <c r="F505" t="s">
        <v>26</v>
      </c>
      <c r="G505" t="str">
        <f t="shared" si="66"/>
        <v>37</v>
      </c>
      <c r="H505" t="str">
        <f>"11"</f>
        <v>11</v>
      </c>
      <c r="I505" t="s">
        <v>763</v>
      </c>
      <c r="J505">
        <v>100</v>
      </c>
      <c r="K505">
        <v>100</v>
      </c>
      <c r="L505" t="s">
        <v>28</v>
      </c>
      <c r="M505" t="s">
        <v>1987</v>
      </c>
      <c r="N505">
        <v>1</v>
      </c>
      <c r="O505" t="str">
        <f>"722"</f>
        <v>722</v>
      </c>
      <c r="P505" t="s">
        <v>1902</v>
      </c>
      <c r="Q505" t="s">
        <v>763</v>
      </c>
      <c r="R505" t="s">
        <v>31</v>
      </c>
      <c r="S505" t="s">
        <v>28</v>
      </c>
      <c r="T505" t="str">
        <f>"18488186"</f>
        <v>18488186</v>
      </c>
      <c r="U505" t="s">
        <v>1988</v>
      </c>
      <c r="V505" t="s">
        <v>1989</v>
      </c>
    </row>
    <row r="506" spans="1:22" x14ac:dyDescent="0.25">
      <c r="A506" t="str">
        <f t="shared" si="61"/>
        <v>10807</v>
      </c>
      <c r="B506" t="s">
        <v>1891</v>
      </c>
      <c r="C506" t="s">
        <v>1892</v>
      </c>
      <c r="D506" t="s">
        <v>1990</v>
      </c>
      <c r="E506" t="s">
        <v>25</v>
      </c>
      <c r="F506" t="s">
        <v>26</v>
      </c>
      <c r="G506" t="str">
        <f t="shared" si="66"/>
        <v>37</v>
      </c>
      <c r="H506" t="str">
        <f>"11"</f>
        <v>11</v>
      </c>
      <c r="I506" t="s">
        <v>763</v>
      </c>
      <c r="J506">
        <v>100</v>
      </c>
      <c r="K506">
        <v>100</v>
      </c>
      <c r="L506" t="s">
        <v>28</v>
      </c>
      <c r="M506" t="s">
        <v>1991</v>
      </c>
      <c r="N506">
        <v>1</v>
      </c>
      <c r="O506" t="str">
        <f>"722"</f>
        <v>722</v>
      </c>
      <c r="P506" t="s">
        <v>1902</v>
      </c>
      <c r="Q506" t="s">
        <v>763</v>
      </c>
      <c r="R506" t="s">
        <v>31</v>
      </c>
      <c r="S506" t="s">
        <v>28</v>
      </c>
      <c r="T506" t="str">
        <f>"00969129"</f>
        <v>00969129</v>
      </c>
      <c r="U506" t="s">
        <v>1992</v>
      </c>
      <c r="V506" t="s">
        <v>1993</v>
      </c>
    </row>
    <row r="507" spans="1:22" x14ac:dyDescent="0.25">
      <c r="A507" t="str">
        <f t="shared" ref="A507:A570" si="73">"10807"</f>
        <v>10807</v>
      </c>
      <c r="B507" t="s">
        <v>1891</v>
      </c>
      <c r="C507" t="s">
        <v>1892</v>
      </c>
      <c r="D507" t="s">
        <v>1994</v>
      </c>
      <c r="E507" t="s">
        <v>25</v>
      </c>
      <c r="F507" t="s">
        <v>26</v>
      </c>
      <c r="G507" t="str">
        <f t="shared" ref="G507:G538" si="74">"37"</f>
        <v>37</v>
      </c>
      <c r="H507" t="str">
        <f>"12"</f>
        <v>12</v>
      </c>
      <c r="I507" t="s">
        <v>1331</v>
      </c>
      <c r="J507">
        <v>100</v>
      </c>
      <c r="K507">
        <v>100</v>
      </c>
      <c r="L507" t="s">
        <v>28</v>
      </c>
      <c r="M507" t="s">
        <v>1995</v>
      </c>
      <c r="N507">
        <v>1</v>
      </c>
      <c r="O507" t="str">
        <f>"723"</f>
        <v>723</v>
      </c>
      <c r="P507" t="s">
        <v>1927</v>
      </c>
      <c r="Q507" t="s">
        <v>1331</v>
      </c>
      <c r="R507" t="s">
        <v>31</v>
      </c>
      <c r="S507" t="s">
        <v>28</v>
      </c>
      <c r="T507" t="str">
        <f>"85500701"</f>
        <v>85500701</v>
      </c>
      <c r="U507" t="s">
        <v>1903</v>
      </c>
      <c r="V507" t="s">
        <v>1904</v>
      </c>
    </row>
    <row r="508" spans="1:22" x14ac:dyDescent="0.25">
      <c r="A508" t="str">
        <f t="shared" si="73"/>
        <v>10807</v>
      </c>
      <c r="B508" t="s">
        <v>1891</v>
      </c>
      <c r="C508" t="s">
        <v>1892</v>
      </c>
      <c r="D508" t="s">
        <v>1996</v>
      </c>
      <c r="E508" t="s">
        <v>25</v>
      </c>
      <c r="F508" t="s">
        <v>26</v>
      </c>
      <c r="G508" t="str">
        <f t="shared" si="74"/>
        <v>37</v>
      </c>
      <c r="H508" t="str">
        <f>"12"</f>
        <v>12</v>
      </c>
      <c r="I508" t="s">
        <v>835</v>
      </c>
      <c r="J508">
        <v>50</v>
      </c>
      <c r="K508">
        <v>50</v>
      </c>
      <c r="L508" t="s">
        <v>28</v>
      </c>
      <c r="M508" t="s">
        <v>1997</v>
      </c>
      <c r="N508">
        <v>1</v>
      </c>
      <c r="O508" t="str">
        <f>"723"</f>
        <v>723</v>
      </c>
      <c r="P508" t="s">
        <v>1930</v>
      </c>
      <c r="Q508" t="s">
        <v>835</v>
      </c>
      <c r="R508" t="s">
        <v>31</v>
      </c>
      <c r="S508" t="s">
        <v>28</v>
      </c>
      <c r="T508" t="str">
        <f>"85500701"</f>
        <v>85500701</v>
      </c>
      <c r="U508" t="s">
        <v>1903</v>
      </c>
      <c r="V508" t="s">
        <v>1904</v>
      </c>
    </row>
    <row r="509" spans="1:22" x14ac:dyDescent="0.25">
      <c r="A509" t="str">
        <f t="shared" si="73"/>
        <v>10807</v>
      </c>
      <c r="B509" t="s">
        <v>1891</v>
      </c>
      <c r="C509" t="s">
        <v>1892</v>
      </c>
      <c r="D509" t="s">
        <v>1998</v>
      </c>
      <c r="E509" t="s">
        <v>25</v>
      </c>
      <c r="F509" t="s">
        <v>26</v>
      </c>
      <c r="G509" t="str">
        <f t="shared" si="74"/>
        <v>37</v>
      </c>
      <c r="H509" t="str">
        <f>"11"</f>
        <v>11</v>
      </c>
      <c r="I509" t="s">
        <v>763</v>
      </c>
      <c r="J509">
        <v>20</v>
      </c>
      <c r="K509">
        <v>20</v>
      </c>
      <c r="L509" t="s">
        <v>28</v>
      </c>
      <c r="M509" t="s">
        <v>1999</v>
      </c>
      <c r="N509">
        <v>1</v>
      </c>
      <c r="O509" t="str">
        <f>"722"</f>
        <v>722</v>
      </c>
      <c r="P509" t="s">
        <v>1902</v>
      </c>
      <c r="Q509" t="s">
        <v>763</v>
      </c>
      <c r="R509" t="s">
        <v>31</v>
      </c>
      <c r="S509" t="s">
        <v>28</v>
      </c>
      <c r="T509" t="str">
        <f>"99391697"</f>
        <v>99391697</v>
      </c>
      <c r="U509" t="s">
        <v>2000</v>
      </c>
      <c r="V509" t="s">
        <v>2001</v>
      </c>
    </row>
    <row r="510" spans="1:22" x14ac:dyDescent="0.25">
      <c r="A510" t="str">
        <f t="shared" si="73"/>
        <v>10807</v>
      </c>
      <c r="B510" t="s">
        <v>1891</v>
      </c>
      <c r="C510" t="s">
        <v>2002</v>
      </c>
      <c r="D510" t="s">
        <v>2003</v>
      </c>
      <c r="E510" t="s">
        <v>25</v>
      </c>
      <c r="F510" t="s">
        <v>26</v>
      </c>
      <c r="G510" t="str">
        <f t="shared" si="74"/>
        <v>37</v>
      </c>
      <c r="H510" t="str">
        <f>"12"</f>
        <v>12</v>
      </c>
      <c r="I510" t="s">
        <v>1246</v>
      </c>
      <c r="J510">
        <v>30</v>
      </c>
      <c r="K510">
        <v>0</v>
      </c>
      <c r="L510" t="s">
        <v>28</v>
      </c>
      <c r="M510" t="s">
        <v>2004</v>
      </c>
      <c r="N510">
        <v>1</v>
      </c>
      <c r="O510" t="str">
        <f>"723"</f>
        <v>723</v>
      </c>
      <c r="P510" t="s">
        <v>2005</v>
      </c>
      <c r="Q510" t="s">
        <v>1246</v>
      </c>
      <c r="R510" t="s">
        <v>31</v>
      </c>
      <c r="S510" t="s">
        <v>28</v>
      </c>
      <c r="T510" t="str">
        <f>"76251250"</f>
        <v>76251250</v>
      </c>
      <c r="U510" t="s">
        <v>2006</v>
      </c>
      <c r="V510" t="s">
        <v>2007</v>
      </c>
    </row>
    <row r="511" spans="1:22" x14ac:dyDescent="0.25">
      <c r="A511" t="str">
        <f t="shared" si="73"/>
        <v>10807</v>
      </c>
      <c r="B511" t="s">
        <v>1891</v>
      </c>
      <c r="C511" t="s">
        <v>2002</v>
      </c>
      <c r="D511" t="s">
        <v>2008</v>
      </c>
      <c r="E511" t="s">
        <v>25</v>
      </c>
      <c r="F511" t="s">
        <v>26</v>
      </c>
      <c r="G511" t="str">
        <f t="shared" si="74"/>
        <v>37</v>
      </c>
      <c r="H511" t="str">
        <f t="shared" ref="H511:H518" si="75">"11"</f>
        <v>11</v>
      </c>
      <c r="I511" t="s">
        <v>1331</v>
      </c>
      <c r="J511">
        <v>30</v>
      </c>
      <c r="K511">
        <v>0</v>
      </c>
      <c r="L511" t="s">
        <v>28</v>
      </c>
      <c r="M511" t="s">
        <v>2009</v>
      </c>
      <c r="N511">
        <v>1</v>
      </c>
      <c r="O511" t="str">
        <f t="shared" ref="O511:O518" si="76">"722"</f>
        <v>722</v>
      </c>
      <c r="P511" t="s">
        <v>2010</v>
      </c>
      <c r="Q511" t="s">
        <v>1331</v>
      </c>
      <c r="R511" t="s">
        <v>31</v>
      </c>
      <c r="S511" t="s">
        <v>28</v>
      </c>
      <c r="T511" t="str">
        <f>"10280352"</f>
        <v>10280352</v>
      </c>
      <c r="U511" t="s">
        <v>2011</v>
      </c>
      <c r="V511" t="s">
        <v>2012</v>
      </c>
    </row>
    <row r="512" spans="1:22" x14ac:dyDescent="0.25">
      <c r="A512" t="str">
        <f t="shared" si="73"/>
        <v>10807</v>
      </c>
      <c r="B512" t="s">
        <v>1891</v>
      </c>
      <c r="C512" t="s">
        <v>2002</v>
      </c>
      <c r="D512" t="s">
        <v>2013</v>
      </c>
      <c r="E512" t="s">
        <v>25</v>
      </c>
      <c r="F512" t="s">
        <v>26</v>
      </c>
      <c r="G512" t="str">
        <f t="shared" si="74"/>
        <v>37</v>
      </c>
      <c r="H512" t="str">
        <f t="shared" si="75"/>
        <v>11</v>
      </c>
      <c r="I512" t="s">
        <v>27</v>
      </c>
      <c r="J512">
        <v>40</v>
      </c>
      <c r="K512">
        <v>0</v>
      </c>
      <c r="L512" t="s">
        <v>28</v>
      </c>
      <c r="M512" t="s">
        <v>2014</v>
      </c>
      <c r="N512">
        <v>1</v>
      </c>
      <c r="O512" t="str">
        <f t="shared" si="76"/>
        <v>722</v>
      </c>
      <c r="P512" t="s">
        <v>2015</v>
      </c>
      <c r="Q512" t="s">
        <v>27</v>
      </c>
      <c r="R512" t="s">
        <v>31</v>
      </c>
      <c r="S512" t="s">
        <v>28</v>
      </c>
      <c r="T512" t="str">
        <f>"10280114"</f>
        <v>10280114</v>
      </c>
      <c r="U512" t="s">
        <v>2016</v>
      </c>
      <c r="V512" t="s">
        <v>2017</v>
      </c>
    </row>
    <row r="513" spans="1:22" x14ac:dyDescent="0.25">
      <c r="A513" t="str">
        <f t="shared" si="73"/>
        <v>10807</v>
      </c>
      <c r="B513" t="s">
        <v>1891</v>
      </c>
      <c r="C513" t="s">
        <v>2002</v>
      </c>
      <c r="D513" t="s">
        <v>2018</v>
      </c>
      <c r="E513" t="s">
        <v>25</v>
      </c>
      <c r="F513" t="s">
        <v>26</v>
      </c>
      <c r="G513" t="str">
        <f t="shared" si="74"/>
        <v>37</v>
      </c>
      <c r="H513" t="str">
        <f t="shared" si="75"/>
        <v>11</v>
      </c>
      <c r="I513" t="s">
        <v>763</v>
      </c>
      <c r="J513">
        <v>60</v>
      </c>
      <c r="K513">
        <v>0</v>
      </c>
      <c r="L513" t="s">
        <v>28</v>
      </c>
      <c r="M513" t="s">
        <v>2019</v>
      </c>
      <c r="N513">
        <v>1</v>
      </c>
      <c r="O513" t="str">
        <f t="shared" si="76"/>
        <v>722</v>
      </c>
      <c r="P513" t="s">
        <v>2020</v>
      </c>
      <c r="Q513" t="s">
        <v>763</v>
      </c>
      <c r="R513" t="s">
        <v>31</v>
      </c>
      <c r="S513" t="s">
        <v>28</v>
      </c>
      <c r="T513" t="str">
        <f>"25974747"</f>
        <v>25974747</v>
      </c>
      <c r="U513" t="s">
        <v>2021</v>
      </c>
      <c r="V513" t="s">
        <v>2022</v>
      </c>
    </row>
    <row r="514" spans="1:22" x14ac:dyDescent="0.25">
      <c r="A514" t="str">
        <f t="shared" si="73"/>
        <v>10807</v>
      </c>
      <c r="B514" t="s">
        <v>1891</v>
      </c>
      <c r="C514" t="s">
        <v>2002</v>
      </c>
      <c r="D514" t="s">
        <v>2023</v>
      </c>
      <c r="E514" t="s">
        <v>25</v>
      </c>
      <c r="F514" t="s">
        <v>26</v>
      </c>
      <c r="G514" t="str">
        <f t="shared" si="74"/>
        <v>37</v>
      </c>
      <c r="H514" t="str">
        <f t="shared" si="75"/>
        <v>11</v>
      </c>
      <c r="I514" t="s">
        <v>1331</v>
      </c>
      <c r="J514">
        <v>20</v>
      </c>
      <c r="K514">
        <v>0</v>
      </c>
      <c r="L514" t="s">
        <v>28</v>
      </c>
      <c r="M514" t="s">
        <v>2024</v>
      </c>
      <c r="N514">
        <v>1</v>
      </c>
      <c r="O514" t="str">
        <f t="shared" si="76"/>
        <v>722</v>
      </c>
      <c r="P514" t="s">
        <v>2025</v>
      </c>
      <c r="Q514" t="s">
        <v>1331</v>
      </c>
      <c r="R514" t="s">
        <v>31</v>
      </c>
      <c r="S514" t="s">
        <v>28</v>
      </c>
      <c r="T514" t="str">
        <f>"92071229"</f>
        <v>92071229</v>
      </c>
      <c r="U514" t="s">
        <v>2026</v>
      </c>
      <c r="V514" t="s">
        <v>2027</v>
      </c>
    </row>
    <row r="515" spans="1:22" x14ac:dyDescent="0.25">
      <c r="A515" t="str">
        <f t="shared" si="73"/>
        <v>10807</v>
      </c>
      <c r="B515" t="s">
        <v>1891</v>
      </c>
      <c r="C515" t="s">
        <v>2002</v>
      </c>
      <c r="D515" t="s">
        <v>2028</v>
      </c>
      <c r="E515" t="s">
        <v>25</v>
      </c>
      <c r="F515" t="s">
        <v>26</v>
      </c>
      <c r="G515" t="str">
        <f t="shared" si="74"/>
        <v>37</v>
      </c>
      <c r="H515" t="str">
        <f t="shared" si="75"/>
        <v>11</v>
      </c>
      <c r="I515" t="s">
        <v>763</v>
      </c>
      <c r="J515">
        <v>50</v>
      </c>
      <c r="K515">
        <v>0</v>
      </c>
      <c r="L515" t="s">
        <v>28</v>
      </c>
      <c r="M515" t="s">
        <v>2029</v>
      </c>
      <c r="N515">
        <v>1</v>
      </c>
      <c r="O515" t="str">
        <f t="shared" si="76"/>
        <v>722</v>
      </c>
      <c r="P515" t="s">
        <v>2030</v>
      </c>
      <c r="Q515" t="s">
        <v>763</v>
      </c>
      <c r="R515" t="s">
        <v>31</v>
      </c>
      <c r="S515" t="s">
        <v>28</v>
      </c>
      <c r="T515" t="str">
        <f>"41344958"</f>
        <v>41344958</v>
      </c>
      <c r="U515" t="s">
        <v>2031</v>
      </c>
      <c r="V515" t="s">
        <v>2032</v>
      </c>
    </row>
    <row r="516" spans="1:22" x14ac:dyDescent="0.25">
      <c r="A516" t="str">
        <f t="shared" si="73"/>
        <v>10807</v>
      </c>
      <c r="B516" t="s">
        <v>1891</v>
      </c>
      <c r="C516" t="s">
        <v>2002</v>
      </c>
      <c r="D516" t="s">
        <v>2033</v>
      </c>
      <c r="E516" t="s">
        <v>25</v>
      </c>
      <c r="F516" t="s">
        <v>26</v>
      </c>
      <c r="G516" t="str">
        <f t="shared" si="74"/>
        <v>37</v>
      </c>
      <c r="H516" t="str">
        <f t="shared" si="75"/>
        <v>11</v>
      </c>
      <c r="I516" t="s">
        <v>763</v>
      </c>
      <c r="J516">
        <v>20</v>
      </c>
      <c r="K516">
        <v>0</v>
      </c>
      <c r="L516" t="s">
        <v>28</v>
      </c>
      <c r="M516" t="s">
        <v>2034</v>
      </c>
      <c r="N516">
        <v>1</v>
      </c>
      <c r="O516" t="str">
        <f t="shared" si="76"/>
        <v>722</v>
      </c>
      <c r="P516" t="s">
        <v>2035</v>
      </c>
      <c r="Q516" t="s">
        <v>763</v>
      </c>
      <c r="R516" t="s">
        <v>31</v>
      </c>
      <c r="S516" t="s">
        <v>28</v>
      </c>
      <c r="T516" t="str">
        <f>"74821235"</f>
        <v>74821235</v>
      </c>
      <c r="U516" t="s">
        <v>2036</v>
      </c>
      <c r="V516" t="s">
        <v>2037</v>
      </c>
    </row>
    <row r="517" spans="1:22" x14ac:dyDescent="0.25">
      <c r="A517" t="str">
        <f t="shared" si="73"/>
        <v>10807</v>
      </c>
      <c r="B517" t="s">
        <v>1891</v>
      </c>
      <c r="C517" t="s">
        <v>2002</v>
      </c>
      <c r="D517" t="s">
        <v>2038</v>
      </c>
      <c r="E517" t="s">
        <v>25</v>
      </c>
      <c r="F517" t="s">
        <v>26</v>
      </c>
      <c r="G517" t="str">
        <f t="shared" si="74"/>
        <v>37</v>
      </c>
      <c r="H517" t="str">
        <f t="shared" si="75"/>
        <v>11</v>
      </c>
      <c r="I517" t="s">
        <v>1331</v>
      </c>
      <c r="J517">
        <v>30</v>
      </c>
      <c r="K517">
        <v>0</v>
      </c>
      <c r="L517" t="s">
        <v>28</v>
      </c>
      <c r="M517" t="s">
        <v>2039</v>
      </c>
      <c r="N517">
        <v>1</v>
      </c>
      <c r="O517" t="str">
        <f t="shared" si="76"/>
        <v>722</v>
      </c>
      <c r="P517" t="s">
        <v>2040</v>
      </c>
      <c r="Q517" t="s">
        <v>1331</v>
      </c>
      <c r="R517" t="s">
        <v>31</v>
      </c>
      <c r="S517" t="s">
        <v>28</v>
      </c>
      <c r="T517" t="str">
        <f>"25954637"</f>
        <v>25954637</v>
      </c>
      <c r="U517" t="s">
        <v>2041</v>
      </c>
      <c r="V517" t="s">
        <v>2042</v>
      </c>
    </row>
    <row r="518" spans="1:22" x14ac:dyDescent="0.25">
      <c r="A518" t="str">
        <f t="shared" si="73"/>
        <v>10807</v>
      </c>
      <c r="B518" t="s">
        <v>1891</v>
      </c>
      <c r="C518" t="s">
        <v>2002</v>
      </c>
      <c r="D518" t="s">
        <v>2043</v>
      </c>
      <c r="E518" t="s">
        <v>25</v>
      </c>
      <c r="F518" t="s">
        <v>26</v>
      </c>
      <c r="G518" t="str">
        <f t="shared" si="74"/>
        <v>37</v>
      </c>
      <c r="H518" t="str">
        <f t="shared" si="75"/>
        <v>11</v>
      </c>
      <c r="I518" t="s">
        <v>1253</v>
      </c>
      <c r="J518">
        <v>30</v>
      </c>
      <c r="K518">
        <v>0</v>
      </c>
      <c r="L518" t="s">
        <v>28</v>
      </c>
      <c r="M518" t="s">
        <v>2044</v>
      </c>
      <c r="N518">
        <v>1</v>
      </c>
      <c r="O518" t="str">
        <f t="shared" si="76"/>
        <v>722</v>
      </c>
      <c r="P518" t="s">
        <v>2045</v>
      </c>
      <c r="Q518" t="s">
        <v>1253</v>
      </c>
      <c r="R518" t="s">
        <v>31</v>
      </c>
      <c r="S518" t="s">
        <v>28</v>
      </c>
      <c r="T518" t="str">
        <f>"26047331"</f>
        <v>26047331</v>
      </c>
      <c r="U518" t="s">
        <v>2046</v>
      </c>
      <c r="V518" t="s">
        <v>2047</v>
      </c>
    </row>
    <row r="519" spans="1:22" x14ac:dyDescent="0.25">
      <c r="A519" t="str">
        <f t="shared" si="73"/>
        <v>10807</v>
      </c>
      <c r="B519" t="s">
        <v>1891</v>
      </c>
      <c r="C519" t="s">
        <v>2002</v>
      </c>
      <c r="D519" t="s">
        <v>2048</v>
      </c>
      <c r="E519" t="s">
        <v>25</v>
      </c>
      <c r="F519" t="s">
        <v>26</v>
      </c>
      <c r="G519" t="str">
        <f t="shared" si="74"/>
        <v>37</v>
      </c>
      <c r="H519" t="str">
        <f>"12"</f>
        <v>12</v>
      </c>
      <c r="I519" t="s">
        <v>1246</v>
      </c>
      <c r="J519">
        <v>20</v>
      </c>
      <c r="K519">
        <v>0</v>
      </c>
      <c r="L519" t="s">
        <v>28</v>
      </c>
      <c r="M519" t="s">
        <v>2049</v>
      </c>
      <c r="N519">
        <v>1</v>
      </c>
      <c r="O519" t="str">
        <f>"723"</f>
        <v>723</v>
      </c>
      <c r="P519" t="s">
        <v>2050</v>
      </c>
      <c r="Q519" t="s">
        <v>1246</v>
      </c>
      <c r="R519" t="s">
        <v>31</v>
      </c>
      <c r="S519" t="s">
        <v>28</v>
      </c>
      <c r="T519" t="str">
        <f>"99729501"</f>
        <v>99729501</v>
      </c>
      <c r="U519" t="s">
        <v>2051</v>
      </c>
      <c r="V519" t="s">
        <v>2052</v>
      </c>
    </row>
    <row r="520" spans="1:22" x14ac:dyDescent="0.25">
      <c r="A520" t="str">
        <f t="shared" si="73"/>
        <v>10807</v>
      </c>
      <c r="B520" t="s">
        <v>1891</v>
      </c>
      <c r="C520" t="s">
        <v>2002</v>
      </c>
      <c r="D520" t="s">
        <v>2053</v>
      </c>
      <c r="E520" t="s">
        <v>25</v>
      </c>
      <c r="F520" t="s">
        <v>26</v>
      </c>
      <c r="G520" t="str">
        <f t="shared" si="74"/>
        <v>37</v>
      </c>
      <c r="H520" t="str">
        <f t="shared" ref="H520:H525" si="77">"11"</f>
        <v>11</v>
      </c>
      <c r="I520" t="s">
        <v>1337</v>
      </c>
      <c r="J520">
        <v>50</v>
      </c>
      <c r="K520">
        <v>0</v>
      </c>
      <c r="L520" t="s">
        <v>28</v>
      </c>
      <c r="M520" t="s">
        <v>2054</v>
      </c>
      <c r="N520">
        <v>1</v>
      </c>
      <c r="O520" t="str">
        <f t="shared" ref="O520:O525" si="78">"722"</f>
        <v>722</v>
      </c>
      <c r="P520" t="s">
        <v>2055</v>
      </c>
      <c r="Q520" t="s">
        <v>1337</v>
      </c>
      <c r="R520" t="s">
        <v>31</v>
      </c>
      <c r="S520" t="s">
        <v>28</v>
      </c>
      <c r="T520" t="str">
        <f>"08884721"</f>
        <v>08884721</v>
      </c>
      <c r="U520" t="s">
        <v>2056</v>
      </c>
      <c r="V520" t="s">
        <v>2057</v>
      </c>
    </row>
    <row r="521" spans="1:22" x14ac:dyDescent="0.25">
      <c r="A521" t="str">
        <f t="shared" si="73"/>
        <v>10807</v>
      </c>
      <c r="B521" t="s">
        <v>1891</v>
      </c>
      <c r="C521" t="s">
        <v>2002</v>
      </c>
      <c r="D521" t="s">
        <v>2058</v>
      </c>
      <c r="E521" t="s">
        <v>25</v>
      </c>
      <c r="F521" t="s">
        <v>26</v>
      </c>
      <c r="G521" t="str">
        <f t="shared" si="74"/>
        <v>37</v>
      </c>
      <c r="H521" t="str">
        <f t="shared" si="77"/>
        <v>11</v>
      </c>
      <c r="I521" t="s">
        <v>763</v>
      </c>
      <c r="J521">
        <v>20</v>
      </c>
      <c r="K521">
        <v>0</v>
      </c>
      <c r="L521" t="s">
        <v>28</v>
      </c>
      <c r="M521" t="s">
        <v>2059</v>
      </c>
      <c r="N521">
        <v>1</v>
      </c>
      <c r="O521" t="str">
        <f t="shared" si="78"/>
        <v>722</v>
      </c>
      <c r="P521" t="s">
        <v>2060</v>
      </c>
      <c r="Q521" t="s">
        <v>763</v>
      </c>
      <c r="R521" t="s">
        <v>31</v>
      </c>
      <c r="S521" t="s">
        <v>28</v>
      </c>
      <c r="T521" t="str">
        <f>"25773663"</f>
        <v>25773663</v>
      </c>
      <c r="U521" t="s">
        <v>2061</v>
      </c>
      <c r="V521" t="s">
        <v>2062</v>
      </c>
    </row>
    <row r="522" spans="1:22" x14ac:dyDescent="0.25">
      <c r="A522" t="str">
        <f t="shared" si="73"/>
        <v>10807</v>
      </c>
      <c r="B522" t="s">
        <v>1891</v>
      </c>
      <c r="C522" t="s">
        <v>2002</v>
      </c>
      <c r="D522" t="s">
        <v>2063</v>
      </c>
      <c r="E522" t="s">
        <v>25</v>
      </c>
      <c r="F522" t="s">
        <v>26</v>
      </c>
      <c r="G522" t="str">
        <f t="shared" si="74"/>
        <v>37</v>
      </c>
      <c r="H522" t="str">
        <f t="shared" si="77"/>
        <v>11</v>
      </c>
      <c r="I522" t="s">
        <v>763</v>
      </c>
      <c r="J522">
        <v>20</v>
      </c>
      <c r="K522">
        <v>0</v>
      </c>
      <c r="L522" t="s">
        <v>28</v>
      </c>
      <c r="M522" t="s">
        <v>2064</v>
      </c>
      <c r="N522">
        <v>1</v>
      </c>
      <c r="O522" t="str">
        <f t="shared" si="78"/>
        <v>722</v>
      </c>
      <c r="P522" t="s">
        <v>2065</v>
      </c>
      <c r="Q522" t="s">
        <v>763</v>
      </c>
      <c r="R522" t="s">
        <v>31</v>
      </c>
      <c r="S522" t="s">
        <v>28</v>
      </c>
      <c r="T522" t="str">
        <f>"72305749"</f>
        <v>72305749</v>
      </c>
      <c r="U522" t="s">
        <v>2066</v>
      </c>
      <c r="V522" t="s">
        <v>2067</v>
      </c>
    </row>
    <row r="523" spans="1:22" x14ac:dyDescent="0.25">
      <c r="A523" t="str">
        <f t="shared" si="73"/>
        <v>10807</v>
      </c>
      <c r="B523" t="s">
        <v>1891</v>
      </c>
      <c r="C523" t="s">
        <v>2002</v>
      </c>
      <c r="D523" t="s">
        <v>2068</v>
      </c>
      <c r="E523" t="s">
        <v>25</v>
      </c>
      <c r="F523" t="s">
        <v>26</v>
      </c>
      <c r="G523" t="str">
        <f t="shared" si="74"/>
        <v>37</v>
      </c>
      <c r="H523" t="str">
        <f t="shared" si="77"/>
        <v>11</v>
      </c>
      <c r="I523" t="s">
        <v>1331</v>
      </c>
      <c r="J523">
        <v>10</v>
      </c>
      <c r="K523">
        <v>0</v>
      </c>
      <c r="L523" t="s">
        <v>28</v>
      </c>
      <c r="M523" t="s">
        <v>2069</v>
      </c>
      <c r="N523">
        <v>1</v>
      </c>
      <c r="O523" t="str">
        <f t="shared" si="78"/>
        <v>722</v>
      </c>
      <c r="P523" t="s">
        <v>2070</v>
      </c>
      <c r="Q523" t="s">
        <v>1331</v>
      </c>
      <c r="R523" t="s">
        <v>31</v>
      </c>
      <c r="S523" t="s">
        <v>28</v>
      </c>
      <c r="T523" t="str">
        <f>"77496578"</f>
        <v>77496578</v>
      </c>
      <c r="U523" t="s">
        <v>2071</v>
      </c>
      <c r="V523" t="s">
        <v>2072</v>
      </c>
    </row>
    <row r="524" spans="1:22" x14ac:dyDescent="0.25">
      <c r="A524" t="str">
        <f t="shared" si="73"/>
        <v>10807</v>
      </c>
      <c r="B524" t="s">
        <v>1891</v>
      </c>
      <c r="C524" t="s">
        <v>2002</v>
      </c>
      <c r="D524" t="s">
        <v>2073</v>
      </c>
      <c r="E524" t="s">
        <v>25</v>
      </c>
      <c r="F524" t="s">
        <v>26</v>
      </c>
      <c r="G524" t="str">
        <f t="shared" si="74"/>
        <v>37</v>
      </c>
      <c r="H524" t="str">
        <f t="shared" si="77"/>
        <v>11</v>
      </c>
      <c r="I524" t="s">
        <v>1331</v>
      </c>
      <c r="J524">
        <v>20</v>
      </c>
      <c r="K524">
        <v>0</v>
      </c>
      <c r="L524" t="s">
        <v>28</v>
      </c>
      <c r="M524" t="s">
        <v>2074</v>
      </c>
      <c r="N524">
        <v>1</v>
      </c>
      <c r="O524" t="str">
        <f t="shared" si="78"/>
        <v>722</v>
      </c>
      <c r="P524" t="s">
        <v>2075</v>
      </c>
      <c r="Q524" t="s">
        <v>1331</v>
      </c>
      <c r="R524" t="s">
        <v>31</v>
      </c>
      <c r="S524" t="s">
        <v>28</v>
      </c>
      <c r="T524" t="str">
        <f>"87883893"</f>
        <v>87883893</v>
      </c>
      <c r="U524" t="s">
        <v>2076</v>
      </c>
      <c r="V524" t="s">
        <v>2077</v>
      </c>
    </row>
    <row r="525" spans="1:22" x14ac:dyDescent="0.25">
      <c r="A525" t="str">
        <f t="shared" si="73"/>
        <v>10807</v>
      </c>
      <c r="B525" t="s">
        <v>1891</v>
      </c>
      <c r="C525" t="s">
        <v>2002</v>
      </c>
      <c r="D525" t="s">
        <v>2078</v>
      </c>
      <c r="E525" t="s">
        <v>25</v>
      </c>
      <c r="F525" t="s">
        <v>26</v>
      </c>
      <c r="G525" t="str">
        <f t="shared" si="74"/>
        <v>37</v>
      </c>
      <c r="H525" t="str">
        <f t="shared" si="77"/>
        <v>11</v>
      </c>
      <c r="I525" t="s">
        <v>1331</v>
      </c>
      <c r="J525">
        <v>20</v>
      </c>
      <c r="K525">
        <v>0</v>
      </c>
      <c r="L525" t="s">
        <v>28</v>
      </c>
      <c r="M525" t="s">
        <v>2079</v>
      </c>
      <c r="N525">
        <v>1</v>
      </c>
      <c r="O525" t="str">
        <f t="shared" si="78"/>
        <v>722</v>
      </c>
      <c r="P525" t="s">
        <v>2080</v>
      </c>
      <c r="Q525" t="s">
        <v>1331</v>
      </c>
      <c r="R525" t="s">
        <v>31</v>
      </c>
      <c r="S525" t="s">
        <v>28</v>
      </c>
      <c r="T525" t="str">
        <f>"25962334"</f>
        <v>25962334</v>
      </c>
      <c r="U525" t="s">
        <v>2081</v>
      </c>
      <c r="V525" t="s">
        <v>2082</v>
      </c>
    </row>
    <row r="526" spans="1:22" x14ac:dyDescent="0.25">
      <c r="A526" t="str">
        <f t="shared" si="73"/>
        <v>10807</v>
      </c>
      <c r="B526" t="s">
        <v>1891</v>
      </c>
      <c r="C526" t="s">
        <v>2002</v>
      </c>
      <c r="D526" t="s">
        <v>2083</v>
      </c>
      <c r="E526" t="s">
        <v>25</v>
      </c>
      <c r="F526" t="s">
        <v>26</v>
      </c>
      <c r="G526" t="str">
        <f t="shared" si="74"/>
        <v>37</v>
      </c>
      <c r="H526" t="str">
        <f>"10"</f>
        <v>10</v>
      </c>
      <c r="I526" t="s">
        <v>37</v>
      </c>
      <c r="J526">
        <v>69.344999999999999</v>
      </c>
      <c r="K526">
        <v>0</v>
      </c>
      <c r="L526" t="s">
        <v>28</v>
      </c>
      <c r="M526" t="s">
        <v>2084</v>
      </c>
      <c r="N526">
        <v>1</v>
      </c>
      <c r="O526" t="str">
        <f>"723"</f>
        <v>723</v>
      </c>
      <c r="P526" t="s">
        <v>2085</v>
      </c>
      <c r="Q526" t="s">
        <v>37</v>
      </c>
      <c r="R526" t="s">
        <v>31</v>
      </c>
      <c r="S526" t="s">
        <v>28</v>
      </c>
      <c r="T526" t="str">
        <f>"08261983"</f>
        <v>08261983</v>
      </c>
      <c r="U526" t="s">
        <v>2086</v>
      </c>
      <c r="V526" t="s">
        <v>2087</v>
      </c>
    </row>
    <row r="527" spans="1:22" x14ac:dyDescent="0.25">
      <c r="A527" t="str">
        <f t="shared" si="73"/>
        <v>10807</v>
      </c>
      <c r="B527" t="s">
        <v>1891</v>
      </c>
      <c r="C527" t="s">
        <v>2002</v>
      </c>
      <c r="D527" t="s">
        <v>2088</v>
      </c>
      <c r="E527" t="s">
        <v>25</v>
      </c>
      <c r="F527" t="s">
        <v>26</v>
      </c>
      <c r="G527" t="str">
        <f t="shared" si="74"/>
        <v>37</v>
      </c>
      <c r="H527" t="str">
        <f>"11"</f>
        <v>11</v>
      </c>
      <c r="I527" t="s">
        <v>1331</v>
      </c>
      <c r="J527">
        <v>20</v>
      </c>
      <c r="K527">
        <v>0</v>
      </c>
      <c r="L527" t="s">
        <v>28</v>
      </c>
      <c r="M527" t="s">
        <v>2089</v>
      </c>
      <c r="N527">
        <v>1</v>
      </c>
      <c r="O527" t="str">
        <f>"722"</f>
        <v>722</v>
      </c>
      <c r="P527" t="s">
        <v>2090</v>
      </c>
      <c r="Q527" t="s">
        <v>1331</v>
      </c>
      <c r="R527" t="s">
        <v>31</v>
      </c>
      <c r="S527" t="s">
        <v>28</v>
      </c>
      <c r="T527" t="str">
        <f>"20255395"</f>
        <v>20255395</v>
      </c>
      <c r="U527" t="s">
        <v>2091</v>
      </c>
      <c r="V527" t="s">
        <v>2092</v>
      </c>
    </row>
    <row r="528" spans="1:22" x14ac:dyDescent="0.25">
      <c r="A528" t="str">
        <f t="shared" si="73"/>
        <v>10807</v>
      </c>
      <c r="B528" t="s">
        <v>1891</v>
      </c>
      <c r="C528" t="s">
        <v>2002</v>
      </c>
      <c r="D528" t="s">
        <v>2093</v>
      </c>
      <c r="E528" t="s">
        <v>25</v>
      </c>
      <c r="F528" t="s">
        <v>26</v>
      </c>
      <c r="G528" t="str">
        <f t="shared" si="74"/>
        <v>37</v>
      </c>
      <c r="H528" t="str">
        <f>"11"</f>
        <v>11</v>
      </c>
      <c r="I528" t="s">
        <v>1331</v>
      </c>
      <c r="J528">
        <v>100</v>
      </c>
      <c r="K528">
        <v>0</v>
      </c>
      <c r="L528" t="s">
        <v>28</v>
      </c>
      <c r="M528" t="s">
        <v>2094</v>
      </c>
      <c r="N528">
        <v>1</v>
      </c>
      <c r="O528" t="str">
        <f>"722"</f>
        <v>722</v>
      </c>
      <c r="P528" t="s">
        <v>2095</v>
      </c>
      <c r="Q528" t="s">
        <v>1331</v>
      </c>
      <c r="R528" t="s">
        <v>31</v>
      </c>
      <c r="S528" t="s">
        <v>28</v>
      </c>
      <c r="T528" t="str">
        <f>"47628854"</f>
        <v>47628854</v>
      </c>
      <c r="U528" t="s">
        <v>2096</v>
      </c>
      <c r="V528" t="s">
        <v>2097</v>
      </c>
    </row>
    <row r="529" spans="1:22" x14ac:dyDescent="0.25">
      <c r="A529" t="str">
        <f t="shared" si="73"/>
        <v>10807</v>
      </c>
      <c r="B529" t="s">
        <v>1891</v>
      </c>
      <c r="C529" t="s">
        <v>2002</v>
      </c>
      <c r="D529" t="s">
        <v>2098</v>
      </c>
      <c r="E529" t="s">
        <v>25</v>
      </c>
      <c r="F529" t="s">
        <v>26</v>
      </c>
      <c r="G529" t="str">
        <f t="shared" si="74"/>
        <v>37</v>
      </c>
      <c r="H529" t="str">
        <f>"41"</f>
        <v>41</v>
      </c>
      <c r="I529" t="s">
        <v>1027</v>
      </c>
      <c r="J529">
        <v>100</v>
      </c>
      <c r="K529">
        <v>0</v>
      </c>
      <c r="L529" t="s">
        <v>28</v>
      </c>
      <c r="M529" t="s">
        <v>2099</v>
      </c>
      <c r="N529">
        <v>1</v>
      </c>
      <c r="O529" t="str">
        <f>"721"</f>
        <v>721</v>
      </c>
      <c r="P529" t="s">
        <v>2100</v>
      </c>
      <c r="Q529" t="s">
        <v>1027</v>
      </c>
      <c r="R529" t="s">
        <v>31</v>
      </c>
      <c r="S529" t="s">
        <v>28</v>
      </c>
      <c r="U529" t="s">
        <v>1274</v>
      </c>
      <c r="V529" t="s">
        <v>1097</v>
      </c>
    </row>
    <row r="530" spans="1:22" x14ac:dyDescent="0.25">
      <c r="A530" t="str">
        <f t="shared" si="73"/>
        <v>10807</v>
      </c>
      <c r="B530" t="s">
        <v>1891</v>
      </c>
      <c r="C530" t="s">
        <v>2002</v>
      </c>
      <c r="D530" t="s">
        <v>2101</v>
      </c>
      <c r="E530" t="s">
        <v>25</v>
      </c>
      <c r="F530" t="s">
        <v>26</v>
      </c>
      <c r="G530" t="str">
        <f t="shared" si="74"/>
        <v>37</v>
      </c>
      <c r="H530" t="str">
        <f>"11"</f>
        <v>11</v>
      </c>
      <c r="I530" t="s">
        <v>27</v>
      </c>
      <c r="J530">
        <v>50</v>
      </c>
      <c r="K530">
        <v>0</v>
      </c>
      <c r="L530" t="s">
        <v>28</v>
      </c>
      <c r="M530" t="s">
        <v>2102</v>
      </c>
      <c r="N530">
        <v>1</v>
      </c>
      <c r="O530" t="str">
        <f>"722"</f>
        <v>722</v>
      </c>
      <c r="P530" t="s">
        <v>2103</v>
      </c>
      <c r="Q530" t="s">
        <v>27</v>
      </c>
      <c r="R530" t="s">
        <v>31</v>
      </c>
      <c r="S530" t="s">
        <v>28</v>
      </c>
      <c r="T530" t="str">
        <f>"10279088"</f>
        <v>10279088</v>
      </c>
      <c r="U530" t="s">
        <v>2104</v>
      </c>
      <c r="V530" t="s">
        <v>2105</v>
      </c>
    </row>
    <row r="531" spans="1:22" x14ac:dyDescent="0.25">
      <c r="A531" t="str">
        <f t="shared" si="73"/>
        <v>10807</v>
      </c>
      <c r="B531" t="s">
        <v>1891</v>
      </c>
      <c r="C531" t="s">
        <v>2002</v>
      </c>
      <c r="D531" t="s">
        <v>2106</v>
      </c>
      <c r="E531" t="s">
        <v>25</v>
      </c>
      <c r="F531" t="s">
        <v>26</v>
      </c>
      <c r="G531" t="str">
        <f t="shared" si="74"/>
        <v>37</v>
      </c>
      <c r="H531" t="str">
        <f>"12"</f>
        <v>12</v>
      </c>
      <c r="I531" t="s">
        <v>1246</v>
      </c>
      <c r="J531">
        <v>20</v>
      </c>
      <c r="K531">
        <v>0</v>
      </c>
      <c r="L531" t="s">
        <v>28</v>
      </c>
      <c r="M531" t="s">
        <v>2107</v>
      </c>
      <c r="N531">
        <v>1</v>
      </c>
      <c r="O531" t="str">
        <f>"723"</f>
        <v>723</v>
      </c>
      <c r="P531" t="s">
        <v>2108</v>
      </c>
      <c r="Q531" t="s">
        <v>1246</v>
      </c>
      <c r="R531" t="s">
        <v>31</v>
      </c>
      <c r="S531" t="s">
        <v>28</v>
      </c>
      <c r="T531" t="str">
        <f>"99729495"</f>
        <v>99729495</v>
      </c>
      <c r="U531" t="s">
        <v>2109</v>
      </c>
      <c r="V531" t="s">
        <v>2110</v>
      </c>
    </row>
    <row r="532" spans="1:22" x14ac:dyDescent="0.25">
      <c r="A532" t="str">
        <f t="shared" si="73"/>
        <v>10807</v>
      </c>
      <c r="B532" t="s">
        <v>1891</v>
      </c>
      <c r="C532" t="s">
        <v>2002</v>
      </c>
      <c r="D532" t="s">
        <v>2111</v>
      </c>
      <c r="E532" t="s">
        <v>25</v>
      </c>
      <c r="F532" t="s">
        <v>26</v>
      </c>
      <c r="G532" t="str">
        <f t="shared" si="74"/>
        <v>37</v>
      </c>
      <c r="H532" t="str">
        <f>"11"</f>
        <v>11</v>
      </c>
      <c r="I532" t="s">
        <v>1331</v>
      </c>
      <c r="J532">
        <v>20</v>
      </c>
      <c r="K532">
        <v>0</v>
      </c>
      <c r="L532" t="s">
        <v>28</v>
      </c>
      <c r="M532" t="s">
        <v>2112</v>
      </c>
      <c r="N532">
        <v>1</v>
      </c>
      <c r="O532" t="str">
        <f>"722"</f>
        <v>722</v>
      </c>
      <c r="P532" t="s">
        <v>2113</v>
      </c>
      <c r="Q532" t="s">
        <v>1331</v>
      </c>
      <c r="R532" t="s">
        <v>31</v>
      </c>
      <c r="S532" t="s">
        <v>28</v>
      </c>
      <c r="T532" t="str">
        <f>"18428408"</f>
        <v>18428408</v>
      </c>
      <c r="U532" t="s">
        <v>2114</v>
      </c>
      <c r="V532" t="s">
        <v>2115</v>
      </c>
    </row>
    <row r="533" spans="1:22" x14ac:dyDescent="0.25">
      <c r="A533" t="str">
        <f t="shared" si="73"/>
        <v>10807</v>
      </c>
      <c r="B533" t="s">
        <v>1891</v>
      </c>
      <c r="C533" t="s">
        <v>2002</v>
      </c>
      <c r="D533" t="s">
        <v>2116</v>
      </c>
      <c r="E533" t="s">
        <v>25</v>
      </c>
      <c r="F533" t="s">
        <v>26</v>
      </c>
      <c r="G533" t="str">
        <f t="shared" si="74"/>
        <v>37</v>
      </c>
      <c r="H533" t="str">
        <f>"11"</f>
        <v>11</v>
      </c>
      <c r="I533" t="s">
        <v>1331</v>
      </c>
      <c r="J533">
        <v>20</v>
      </c>
      <c r="K533">
        <v>0</v>
      </c>
      <c r="L533" t="s">
        <v>28</v>
      </c>
      <c r="M533" t="s">
        <v>2117</v>
      </c>
      <c r="N533">
        <v>1</v>
      </c>
      <c r="O533" t="str">
        <f>"722"</f>
        <v>722</v>
      </c>
      <c r="P533" t="s">
        <v>2118</v>
      </c>
      <c r="Q533" t="s">
        <v>1331</v>
      </c>
      <c r="R533" t="s">
        <v>31</v>
      </c>
      <c r="S533" t="s">
        <v>28</v>
      </c>
      <c r="T533" t="str">
        <f>"26056653"</f>
        <v>26056653</v>
      </c>
      <c r="U533" t="s">
        <v>2119</v>
      </c>
      <c r="V533" t="s">
        <v>2120</v>
      </c>
    </row>
    <row r="534" spans="1:22" x14ac:dyDescent="0.25">
      <c r="A534" t="str">
        <f t="shared" si="73"/>
        <v>10807</v>
      </c>
      <c r="B534" t="s">
        <v>1891</v>
      </c>
      <c r="C534" t="s">
        <v>2002</v>
      </c>
      <c r="D534" t="s">
        <v>2121</v>
      </c>
      <c r="E534" t="s">
        <v>25</v>
      </c>
      <c r="F534" t="s">
        <v>26</v>
      </c>
      <c r="G534" t="str">
        <f t="shared" si="74"/>
        <v>37</v>
      </c>
      <c r="H534" t="str">
        <f>"11"</f>
        <v>11</v>
      </c>
      <c r="I534" t="s">
        <v>763</v>
      </c>
      <c r="J534">
        <v>10</v>
      </c>
      <c r="K534">
        <v>0</v>
      </c>
      <c r="L534" t="s">
        <v>28</v>
      </c>
      <c r="M534" t="s">
        <v>2122</v>
      </c>
      <c r="N534">
        <v>1</v>
      </c>
      <c r="O534" t="str">
        <f>"722"</f>
        <v>722</v>
      </c>
      <c r="P534" t="s">
        <v>2123</v>
      </c>
      <c r="Q534" t="s">
        <v>763</v>
      </c>
      <c r="R534" t="s">
        <v>31</v>
      </c>
      <c r="S534" t="s">
        <v>28</v>
      </c>
      <c r="T534" t="str">
        <f>"77496768"</f>
        <v>77496768</v>
      </c>
      <c r="U534" t="s">
        <v>2124</v>
      </c>
      <c r="V534" t="s">
        <v>2125</v>
      </c>
    </row>
    <row r="535" spans="1:22" x14ac:dyDescent="0.25">
      <c r="A535" t="str">
        <f t="shared" si="73"/>
        <v>10807</v>
      </c>
      <c r="B535" t="s">
        <v>1891</v>
      </c>
      <c r="C535" t="s">
        <v>2002</v>
      </c>
      <c r="D535" t="s">
        <v>2126</v>
      </c>
      <c r="E535" t="s">
        <v>25</v>
      </c>
      <c r="F535" t="s">
        <v>26</v>
      </c>
      <c r="G535" t="str">
        <f t="shared" si="74"/>
        <v>37</v>
      </c>
      <c r="H535" t="str">
        <f>"11"</f>
        <v>11</v>
      </c>
      <c r="I535" t="s">
        <v>1331</v>
      </c>
      <c r="J535">
        <v>10</v>
      </c>
      <c r="K535">
        <v>0</v>
      </c>
      <c r="L535" t="s">
        <v>28</v>
      </c>
      <c r="M535" t="s">
        <v>2127</v>
      </c>
      <c r="N535">
        <v>1</v>
      </c>
      <c r="O535" t="str">
        <f>"722"</f>
        <v>722</v>
      </c>
      <c r="P535" t="s">
        <v>2128</v>
      </c>
      <c r="Q535" t="s">
        <v>1331</v>
      </c>
      <c r="R535" t="s">
        <v>31</v>
      </c>
      <c r="S535" t="s">
        <v>28</v>
      </c>
      <c r="T535" t="str">
        <f>"77496768"</f>
        <v>77496768</v>
      </c>
      <c r="U535" t="s">
        <v>2124</v>
      </c>
      <c r="V535" t="s">
        <v>2125</v>
      </c>
    </row>
    <row r="536" spans="1:22" x14ac:dyDescent="0.25">
      <c r="A536" t="str">
        <f t="shared" si="73"/>
        <v>10807</v>
      </c>
      <c r="B536" t="s">
        <v>1891</v>
      </c>
      <c r="C536" t="s">
        <v>2002</v>
      </c>
      <c r="D536" t="s">
        <v>2129</v>
      </c>
      <c r="E536" t="s">
        <v>25</v>
      </c>
      <c r="F536" t="s">
        <v>26</v>
      </c>
      <c r="G536" t="str">
        <f t="shared" si="74"/>
        <v>37</v>
      </c>
      <c r="H536" t="str">
        <f>"10"</f>
        <v>10</v>
      </c>
      <c r="I536" t="s">
        <v>763</v>
      </c>
      <c r="J536">
        <v>8.24</v>
      </c>
      <c r="K536">
        <v>0</v>
      </c>
      <c r="L536" t="s">
        <v>28</v>
      </c>
      <c r="M536" t="s">
        <v>2130</v>
      </c>
      <c r="N536">
        <v>1</v>
      </c>
      <c r="O536" t="str">
        <f>"723"</f>
        <v>723</v>
      </c>
      <c r="P536" t="s">
        <v>2131</v>
      </c>
      <c r="Q536" t="s">
        <v>763</v>
      </c>
      <c r="R536" t="s">
        <v>31</v>
      </c>
      <c r="S536" t="s">
        <v>28</v>
      </c>
      <c r="T536" t="str">
        <f>"08261983"</f>
        <v>08261983</v>
      </c>
      <c r="U536" t="s">
        <v>2086</v>
      </c>
      <c r="V536" t="s">
        <v>2087</v>
      </c>
    </row>
    <row r="537" spans="1:22" x14ac:dyDescent="0.25">
      <c r="A537" t="str">
        <f t="shared" si="73"/>
        <v>10807</v>
      </c>
      <c r="B537" t="s">
        <v>1891</v>
      </c>
      <c r="C537" t="s">
        <v>2002</v>
      </c>
      <c r="D537" t="s">
        <v>2132</v>
      </c>
      <c r="E537" t="s">
        <v>25</v>
      </c>
      <c r="F537" t="s">
        <v>26</v>
      </c>
      <c r="G537" t="str">
        <f t="shared" si="74"/>
        <v>37</v>
      </c>
      <c r="H537" t="str">
        <f>"12"</f>
        <v>12</v>
      </c>
      <c r="I537" t="s">
        <v>1246</v>
      </c>
      <c r="J537">
        <v>10</v>
      </c>
      <c r="K537">
        <v>0</v>
      </c>
      <c r="L537" t="s">
        <v>28</v>
      </c>
      <c r="M537" t="s">
        <v>2133</v>
      </c>
      <c r="N537">
        <v>1</v>
      </c>
      <c r="O537" t="str">
        <f>"723"</f>
        <v>723</v>
      </c>
      <c r="P537" t="s">
        <v>2134</v>
      </c>
      <c r="Q537" t="s">
        <v>1246</v>
      </c>
      <c r="R537" t="s">
        <v>31</v>
      </c>
      <c r="S537" t="s">
        <v>28</v>
      </c>
      <c r="T537" t="str">
        <f>"77495064"</f>
        <v>77495064</v>
      </c>
      <c r="U537" t="s">
        <v>2135</v>
      </c>
      <c r="V537" t="s">
        <v>2136</v>
      </c>
    </row>
    <row r="538" spans="1:22" x14ac:dyDescent="0.25">
      <c r="A538" t="str">
        <f t="shared" si="73"/>
        <v>10807</v>
      </c>
      <c r="B538" t="s">
        <v>1891</v>
      </c>
      <c r="C538" t="s">
        <v>2002</v>
      </c>
      <c r="D538" t="s">
        <v>2137</v>
      </c>
      <c r="E538" t="s">
        <v>25</v>
      </c>
      <c r="F538" t="s">
        <v>26</v>
      </c>
      <c r="G538" t="str">
        <f t="shared" si="74"/>
        <v>37</v>
      </c>
      <c r="H538" t="str">
        <f>"12"</f>
        <v>12</v>
      </c>
      <c r="I538" t="s">
        <v>1246</v>
      </c>
      <c r="J538">
        <v>20</v>
      </c>
      <c r="K538">
        <v>0</v>
      </c>
      <c r="L538" t="s">
        <v>28</v>
      </c>
      <c r="M538" t="s">
        <v>2138</v>
      </c>
      <c r="N538">
        <v>1</v>
      </c>
      <c r="O538" t="str">
        <f>"723"</f>
        <v>723</v>
      </c>
      <c r="P538" t="s">
        <v>2139</v>
      </c>
      <c r="Q538" t="s">
        <v>1246</v>
      </c>
      <c r="R538" t="s">
        <v>31</v>
      </c>
      <c r="S538" t="s">
        <v>28</v>
      </c>
      <c r="T538" t="str">
        <f>"76251287"</f>
        <v>76251287</v>
      </c>
      <c r="U538" t="s">
        <v>2140</v>
      </c>
      <c r="V538" t="s">
        <v>2141</v>
      </c>
    </row>
    <row r="539" spans="1:22" x14ac:dyDescent="0.25">
      <c r="A539" t="str">
        <f t="shared" si="73"/>
        <v>10807</v>
      </c>
      <c r="B539" t="s">
        <v>1891</v>
      </c>
      <c r="C539" t="s">
        <v>2002</v>
      </c>
      <c r="D539" t="s">
        <v>2142</v>
      </c>
      <c r="E539" t="s">
        <v>25</v>
      </c>
      <c r="F539" t="s">
        <v>26</v>
      </c>
      <c r="G539" t="str">
        <f t="shared" ref="G539:G570" si="79">"37"</f>
        <v>37</v>
      </c>
      <c r="H539" t="str">
        <f>"10"</f>
        <v>10</v>
      </c>
      <c r="I539" t="s">
        <v>1331</v>
      </c>
      <c r="J539">
        <v>92.242000000000004</v>
      </c>
      <c r="K539">
        <v>0</v>
      </c>
      <c r="L539" t="s">
        <v>28</v>
      </c>
      <c r="M539" t="s">
        <v>2143</v>
      </c>
      <c r="N539">
        <v>1</v>
      </c>
      <c r="O539" t="str">
        <f>"723"</f>
        <v>723</v>
      </c>
      <c r="P539" t="s">
        <v>2144</v>
      </c>
      <c r="Q539" t="s">
        <v>1331</v>
      </c>
      <c r="R539" t="s">
        <v>31</v>
      </c>
      <c r="S539" t="s">
        <v>28</v>
      </c>
      <c r="T539" t="str">
        <f>"08261983"</f>
        <v>08261983</v>
      </c>
      <c r="U539" t="s">
        <v>2086</v>
      </c>
      <c r="V539" t="s">
        <v>2087</v>
      </c>
    </row>
    <row r="540" spans="1:22" x14ac:dyDescent="0.25">
      <c r="A540" t="str">
        <f t="shared" si="73"/>
        <v>10807</v>
      </c>
      <c r="B540" t="s">
        <v>1891</v>
      </c>
      <c r="C540" t="s">
        <v>2002</v>
      </c>
      <c r="D540" t="s">
        <v>2145</v>
      </c>
      <c r="E540" t="s">
        <v>25</v>
      </c>
      <c r="F540" t="s">
        <v>26</v>
      </c>
      <c r="G540" t="str">
        <f t="shared" si="79"/>
        <v>37</v>
      </c>
      <c r="H540" t="str">
        <f>"10"</f>
        <v>10</v>
      </c>
      <c r="I540" t="s">
        <v>1331</v>
      </c>
      <c r="J540">
        <v>75.349000000000004</v>
      </c>
      <c r="K540">
        <v>0</v>
      </c>
      <c r="L540" t="s">
        <v>28</v>
      </c>
      <c r="M540" t="s">
        <v>2146</v>
      </c>
      <c r="N540">
        <v>1</v>
      </c>
      <c r="O540" t="str">
        <f>"723"</f>
        <v>723</v>
      </c>
      <c r="P540" t="s">
        <v>2144</v>
      </c>
      <c r="Q540" t="s">
        <v>1331</v>
      </c>
      <c r="R540" t="s">
        <v>31</v>
      </c>
      <c r="S540" t="s">
        <v>28</v>
      </c>
      <c r="T540" t="str">
        <f>"08261983"</f>
        <v>08261983</v>
      </c>
      <c r="U540" t="s">
        <v>2086</v>
      </c>
      <c r="V540" t="s">
        <v>2087</v>
      </c>
    </row>
    <row r="541" spans="1:22" x14ac:dyDescent="0.25">
      <c r="A541" t="str">
        <f t="shared" si="73"/>
        <v>10807</v>
      </c>
      <c r="B541" t="s">
        <v>1891</v>
      </c>
      <c r="C541" t="s">
        <v>2002</v>
      </c>
      <c r="D541" t="s">
        <v>2147</v>
      </c>
      <c r="E541" t="s">
        <v>25</v>
      </c>
      <c r="F541" t="s">
        <v>26</v>
      </c>
      <c r="G541" t="str">
        <f t="shared" si="79"/>
        <v>37</v>
      </c>
      <c r="H541" t="str">
        <f>"11"</f>
        <v>11</v>
      </c>
      <c r="I541" t="s">
        <v>1253</v>
      </c>
      <c r="J541">
        <v>20</v>
      </c>
      <c r="K541">
        <v>0</v>
      </c>
      <c r="L541" t="s">
        <v>28</v>
      </c>
      <c r="M541" t="s">
        <v>2148</v>
      </c>
      <c r="N541">
        <v>1</v>
      </c>
      <c r="O541" t="str">
        <f>"722"</f>
        <v>722</v>
      </c>
      <c r="P541" t="s">
        <v>2149</v>
      </c>
      <c r="Q541" t="s">
        <v>1253</v>
      </c>
      <c r="R541" t="s">
        <v>31</v>
      </c>
      <c r="S541" t="s">
        <v>28</v>
      </c>
      <c r="T541" t="str">
        <f>"38677501"</f>
        <v>38677501</v>
      </c>
      <c r="U541" t="s">
        <v>2150</v>
      </c>
      <c r="V541" t="s">
        <v>2151</v>
      </c>
    </row>
    <row r="542" spans="1:22" x14ac:dyDescent="0.25">
      <c r="A542" t="str">
        <f t="shared" si="73"/>
        <v>10807</v>
      </c>
      <c r="B542" t="s">
        <v>1891</v>
      </c>
      <c r="C542" t="s">
        <v>2002</v>
      </c>
      <c r="D542" t="s">
        <v>2152</v>
      </c>
      <c r="E542" t="s">
        <v>25</v>
      </c>
      <c r="F542" t="s">
        <v>26</v>
      </c>
      <c r="G542" t="str">
        <f t="shared" si="79"/>
        <v>37</v>
      </c>
      <c r="H542" t="str">
        <f>"11"</f>
        <v>11</v>
      </c>
      <c r="I542" t="s">
        <v>1331</v>
      </c>
      <c r="J542">
        <v>20</v>
      </c>
      <c r="K542">
        <v>0</v>
      </c>
      <c r="L542" t="s">
        <v>28</v>
      </c>
      <c r="M542" t="s">
        <v>2153</v>
      </c>
      <c r="N542">
        <v>1</v>
      </c>
      <c r="O542" t="str">
        <f>"722"</f>
        <v>722</v>
      </c>
      <c r="P542" t="s">
        <v>2154</v>
      </c>
      <c r="Q542" t="s">
        <v>1331</v>
      </c>
      <c r="R542" t="s">
        <v>31</v>
      </c>
      <c r="S542" t="s">
        <v>28</v>
      </c>
      <c r="T542" t="str">
        <f>"69807971"</f>
        <v>69807971</v>
      </c>
      <c r="U542" t="s">
        <v>2155</v>
      </c>
      <c r="V542" t="s">
        <v>2156</v>
      </c>
    </row>
    <row r="543" spans="1:22" x14ac:dyDescent="0.25">
      <c r="A543" t="str">
        <f t="shared" si="73"/>
        <v>10807</v>
      </c>
      <c r="B543" t="s">
        <v>1891</v>
      </c>
      <c r="C543" t="s">
        <v>2002</v>
      </c>
      <c r="D543" t="s">
        <v>2157</v>
      </c>
      <c r="E543" t="s">
        <v>25</v>
      </c>
      <c r="F543" t="s">
        <v>26</v>
      </c>
      <c r="G543" t="str">
        <f t="shared" si="79"/>
        <v>37</v>
      </c>
      <c r="H543" t="str">
        <f>"11"</f>
        <v>11</v>
      </c>
      <c r="I543" t="s">
        <v>1331</v>
      </c>
      <c r="J543">
        <v>20</v>
      </c>
      <c r="K543">
        <v>0</v>
      </c>
      <c r="L543" t="s">
        <v>28</v>
      </c>
      <c r="M543" t="s">
        <v>2158</v>
      </c>
      <c r="N543">
        <v>1</v>
      </c>
      <c r="O543" t="str">
        <f>"722"</f>
        <v>722</v>
      </c>
      <c r="P543" t="s">
        <v>2159</v>
      </c>
      <c r="Q543" t="s">
        <v>1331</v>
      </c>
      <c r="R543" t="s">
        <v>31</v>
      </c>
      <c r="S543" t="s">
        <v>28</v>
      </c>
      <c r="T543" t="str">
        <f>"77495661"</f>
        <v>77495661</v>
      </c>
      <c r="U543" t="s">
        <v>2160</v>
      </c>
      <c r="V543" t="s">
        <v>2161</v>
      </c>
    </row>
    <row r="544" spans="1:22" x14ac:dyDescent="0.25">
      <c r="A544" t="str">
        <f t="shared" si="73"/>
        <v>10807</v>
      </c>
      <c r="B544" t="s">
        <v>1891</v>
      </c>
      <c r="C544" t="s">
        <v>2002</v>
      </c>
      <c r="D544" t="s">
        <v>2162</v>
      </c>
      <c r="E544" t="s">
        <v>25</v>
      </c>
      <c r="F544" t="s">
        <v>26</v>
      </c>
      <c r="G544" t="str">
        <f t="shared" si="79"/>
        <v>37</v>
      </c>
      <c r="H544" t="str">
        <f>"12"</f>
        <v>12</v>
      </c>
      <c r="I544" t="s">
        <v>37</v>
      </c>
      <c r="J544">
        <v>50</v>
      </c>
      <c r="K544">
        <v>0</v>
      </c>
      <c r="L544" t="s">
        <v>28</v>
      </c>
      <c r="M544" t="s">
        <v>2163</v>
      </c>
      <c r="N544">
        <v>1</v>
      </c>
      <c r="O544" t="str">
        <f>"723"</f>
        <v>723</v>
      </c>
      <c r="P544" t="s">
        <v>2164</v>
      </c>
      <c r="Q544" t="s">
        <v>37</v>
      </c>
      <c r="R544" t="s">
        <v>31</v>
      </c>
      <c r="S544" t="s">
        <v>28</v>
      </c>
      <c r="T544" t="str">
        <f>"17002919"</f>
        <v>17002919</v>
      </c>
      <c r="U544" t="s">
        <v>2165</v>
      </c>
      <c r="V544" t="s">
        <v>2166</v>
      </c>
    </row>
    <row r="545" spans="1:22" x14ac:dyDescent="0.25">
      <c r="A545" t="str">
        <f t="shared" si="73"/>
        <v>10807</v>
      </c>
      <c r="B545" t="s">
        <v>1891</v>
      </c>
      <c r="C545" t="s">
        <v>2002</v>
      </c>
      <c r="D545" t="s">
        <v>2167</v>
      </c>
      <c r="E545" t="s">
        <v>25</v>
      </c>
      <c r="F545" t="s">
        <v>26</v>
      </c>
      <c r="G545" t="str">
        <f t="shared" si="79"/>
        <v>37</v>
      </c>
      <c r="H545" t="str">
        <f>"12"</f>
        <v>12</v>
      </c>
      <c r="I545" t="s">
        <v>1246</v>
      </c>
      <c r="J545">
        <v>20</v>
      </c>
      <c r="K545">
        <v>0</v>
      </c>
      <c r="L545" t="s">
        <v>28</v>
      </c>
      <c r="M545" t="s">
        <v>2168</v>
      </c>
      <c r="N545">
        <v>1</v>
      </c>
      <c r="O545" t="str">
        <f>"723"</f>
        <v>723</v>
      </c>
      <c r="P545" t="s">
        <v>2134</v>
      </c>
      <c r="Q545" t="s">
        <v>1246</v>
      </c>
      <c r="R545" t="s">
        <v>31</v>
      </c>
      <c r="S545" t="s">
        <v>28</v>
      </c>
      <c r="T545" t="str">
        <f>"77495064"</f>
        <v>77495064</v>
      </c>
      <c r="U545" t="s">
        <v>2135</v>
      </c>
      <c r="V545" t="s">
        <v>2136</v>
      </c>
    </row>
    <row r="546" spans="1:22" x14ac:dyDescent="0.25">
      <c r="A546" t="str">
        <f t="shared" si="73"/>
        <v>10807</v>
      </c>
      <c r="B546" t="s">
        <v>1891</v>
      </c>
      <c r="C546" t="s">
        <v>2002</v>
      </c>
      <c r="D546" t="s">
        <v>2169</v>
      </c>
      <c r="E546" t="s">
        <v>25</v>
      </c>
      <c r="F546" t="s">
        <v>26</v>
      </c>
      <c r="G546" t="str">
        <f t="shared" si="79"/>
        <v>37</v>
      </c>
      <c r="H546" t="str">
        <f>"12"</f>
        <v>12</v>
      </c>
      <c r="I546" t="s">
        <v>1246</v>
      </c>
      <c r="J546">
        <v>20</v>
      </c>
      <c r="K546">
        <v>0</v>
      </c>
      <c r="L546" t="s">
        <v>28</v>
      </c>
      <c r="M546" t="s">
        <v>2170</v>
      </c>
      <c r="N546">
        <v>1</v>
      </c>
      <c r="O546" t="str">
        <f>"723"</f>
        <v>723</v>
      </c>
      <c r="P546" t="s">
        <v>2171</v>
      </c>
      <c r="Q546" t="s">
        <v>1246</v>
      </c>
      <c r="R546" t="s">
        <v>31</v>
      </c>
      <c r="S546" t="s">
        <v>28</v>
      </c>
      <c r="T546" t="str">
        <f>"08262147"</f>
        <v>08262147</v>
      </c>
      <c r="U546" t="s">
        <v>2172</v>
      </c>
      <c r="V546" t="s">
        <v>2173</v>
      </c>
    </row>
    <row r="547" spans="1:22" x14ac:dyDescent="0.25">
      <c r="A547" t="str">
        <f t="shared" si="73"/>
        <v>10807</v>
      </c>
      <c r="B547" t="s">
        <v>1891</v>
      </c>
      <c r="C547" t="s">
        <v>2002</v>
      </c>
      <c r="D547" t="s">
        <v>2174</v>
      </c>
      <c r="E547" t="s">
        <v>25</v>
      </c>
      <c r="F547" t="s">
        <v>26</v>
      </c>
      <c r="G547" t="str">
        <f t="shared" si="79"/>
        <v>37</v>
      </c>
      <c r="H547" t="str">
        <f>"11"</f>
        <v>11</v>
      </c>
      <c r="I547" t="s">
        <v>763</v>
      </c>
      <c r="J547">
        <v>50</v>
      </c>
      <c r="K547">
        <v>0</v>
      </c>
      <c r="L547" t="s">
        <v>28</v>
      </c>
      <c r="M547" t="s">
        <v>2175</v>
      </c>
      <c r="N547">
        <v>1</v>
      </c>
      <c r="O547" t="str">
        <f>"722"</f>
        <v>722</v>
      </c>
      <c r="P547" t="s">
        <v>2176</v>
      </c>
      <c r="Q547" t="s">
        <v>763</v>
      </c>
      <c r="R547" t="s">
        <v>31</v>
      </c>
      <c r="S547" t="s">
        <v>28</v>
      </c>
      <c r="T547" t="str">
        <f>"10276765"</f>
        <v>10276765</v>
      </c>
      <c r="U547" t="s">
        <v>2177</v>
      </c>
      <c r="V547" t="s">
        <v>2178</v>
      </c>
    </row>
    <row r="548" spans="1:22" x14ac:dyDescent="0.25">
      <c r="A548" t="str">
        <f t="shared" si="73"/>
        <v>10807</v>
      </c>
      <c r="B548" t="s">
        <v>1891</v>
      </c>
      <c r="C548" t="s">
        <v>2002</v>
      </c>
      <c r="D548" t="s">
        <v>2179</v>
      </c>
      <c r="E548" t="s">
        <v>25</v>
      </c>
      <c r="F548" t="s">
        <v>26</v>
      </c>
      <c r="G548" t="str">
        <f t="shared" si="79"/>
        <v>37</v>
      </c>
      <c r="H548" t="str">
        <f>"11"</f>
        <v>11</v>
      </c>
      <c r="I548" t="s">
        <v>1331</v>
      </c>
      <c r="J548">
        <v>50</v>
      </c>
      <c r="K548">
        <v>0</v>
      </c>
      <c r="L548" t="s">
        <v>28</v>
      </c>
      <c r="M548" t="s">
        <v>2180</v>
      </c>
      <c r="N548">
        <v>1</v>
      </c>
      <c r="O548" t="str">
        <f>"722"</f>
        <v>722</v>
      </c>
      <c r="P548" t="s">
        <v>2181</v>
      </c>
      <c r="Q548" t="s">
        <v>1331</v>
      </c>
      <c r="R548" t="s">
        <v>31</v>
      </c>
      <c r="S548" t="s">
        <v>28</v>
      </c>
      <c r="T548" t="str">
        <f>"00128436"</f>
        <v>00128436</v>
      </c>
      <c r="U548" t="s">
        <v>2182</v>
      </c>
      <c r="V548" t="s">
        <v>2183</v>
      </c>
    </row>
    <row r="549" spans="1:22" x14ac:dyDescent="0.25">
      <c r="A549" t="str">
        <f t="shared" si="73"/>
        <v>10807</v>
      </c>
      <c r="B549" t="s">
        <v>1891</v>
      </c>
      <c r="C549" t="s">
        <v>2002</v>
      </c>
      <c r="D549" t="s">
        <v>2184</v>
      </c>
      <c r="E549" t="s">
        <v>25</v>
      </c>
      <c r="F549" t="s">
        <v>26</v>
      </c>
      <c r="G549" t="str">
        <f t="shared" si="79"/>
        <v>37</v>
      </c>
      <c r="H549" t="str">
        <f>"11"</f>
        <v>11</v>
      </c>
      <c r="I549" t="s">
        <v>1253</v>
      </c>
      <c r="J549">
        <v>80</v>
      </c>
      <c r="K549">
        <v>0</v>
      </c>
      <c r="L549" t="s">
        <v>28</v>
      </c>
      <c r="M549" t="s">
        <v>2185</v>
      </c>
      <c r="N549">
        <v>1</v>
      </c>
      <c r="O549" t="str">
        <f>"722"</f>
        <v>722</v>
      </c>
      <c r="P549" t="s">
        <v>2186</v>
      </c>
      <c r="Q549" t="s">
        <v>1253</v>
      </c>
      <c r="R549" t="s">
        <v>31</v>
      </c>
      <c r="S549" t="s">
        <v>28</v>
      </c>
      <c r="T549" t="str">
        <f>"26043911"</f>
        <v>26043911</v>
      </c>
      <c r="U549" t="s">
        <v>2187</v>
      </c>
      <c r="V549" t="s">
        <v>2188</v>
      </c>
    </row>
    <row r="550" spans="1:22" x14ac:dyDescent="0.25">
      <c r="A550" t="str">
        <f t="shared" si="73"/>
        <v>10807</v>
      </c>
      <c r="B550" t="s">
        <v>1891</v>
      </c>
      <c r="C550" t="s">
        <v>2002</v>
      </c>
      <c r="D550" t="s">
        <v>2189</v>
      </c>
      <c r="E550" t="s">
        <v>25</v>
      </c>
      <c r="F550" t="s">
        <v>26</v>
      </c>
      <c r="G550" t="str">
        <f t="shared" si="79"/>
        <v>37</v>
      </c>
      <c r="H550" t="str">
        <f>"11"</f>
        <v>11</v>
      </c>
      <c r="I550" t="s">
        <v>1331</v>
      </c>
      <c r="J550">
        <v>50</v>
      </c>
      <c r="K550">
        <v>0</v>
      </c>
      <c r="L550" t="s">
        <v>28</v>
      </c>
      <c r="M550" t="s">
        <v>2190</v>
      </c>
      <c r="N550">
        <v>1</v>
      </c>
      <c r="O550" t="str">
        <f>"722"</f>
        <v>722</v>
      </c>
      <c r="P550" t="s">
        <v>2191</v>
      </c>
      <c r="Q550" t="s">
        <v>1331</v>
      </c>
      <c r="R550" t="s">
        <v>31</v>
      </c>
      <c r="S550" t="s">
        <v>28</v>
      </c>
      <c r="T550" t="str">
        <f>"57985248"</f>
        <v>57985248</v>
      </c>
      <c r="U550" t="s">
        <v>2192</v>
      </c>
      <c r="V550" t="s">
        <v>2193</v>
      </c>
    </row>
    <row r="551" spans="1:22" x14ac:dyDescent="0.25">
      <c r="A551" t="str">
        <f t="shared" si="73"/>
        <v>10807</v>
      </c>
      <c r="B551" t="s">
        <v>1891</v>
      </c>
      <c r="C551" t="s">
        <v>2002</v>
      </c>
      <c r="D551" t="s">
        <v>2194</v>
      </c>
      <c r="E551" t="s">
        <v>25</v>
      </c>
      <c r="F551" t="s">
        <v>26</v>
      </c>
      <c r="G551" t="str">
        <f t="shared" si="79"/>
        <v>37</v>
      </c>
      <c r="H551" t="str">
        <f>"11"</f>
        <v>11</v>
      </c>
      <c r="I551" t="s">
        <v>1331</v>
      </c>
      <c r="J551">
        <v>100</v>
      </c>
      <c r="K551">
        <v>0</v>
      </c>
      <c r="L551" t="s">
        <v>28</v>
      </c>
      <c r="M551" t="s">
        <v>2195</v>
      </c>
      <c r="N551">
        <v>1</v>
      </c>
      <c r="O551" t="str">
        <f>"722"</f>
        <v>722</v>
      </c>
      <c r="P551" t="s">
        <v>2196</v>
      </c>
      <c r="Q551" t="s">
        <v>1331</v>
      </c>
      <c r="R551" t="s">
        <v>31</v>
      </c>
      <c r="S551" t="s">
        <v>28</v>
      </c>
      <c r="T551" t="str">
        <f>"99034973"</f>
        <v>99034973</v>
      </c>
      <c r="U551" t="s">
        <v>2197</v>
      </c>
      <c r="V551" t="s">
        <v>2198</v>
      </c>
    </row>
    <row r="552" spans="1:22" x14ac:dyDescent="0.25">
      <c r="A552" t="str">
        <f t="shared" si="73"/>
        <v>10807</v>
      </c>
      <c r="B552" t="s">
        <v>1891</v>
      </c>
      <c r="C552" t="s">
        <v>2002</v>
      </c>
      <c r="D552" t="s">
        <v>2199</v>
      </c>
      <c r="E552" t="s">
        <v>25</v>
      </c>
      <c r="F552" t="s">
        <v>26</v>
      </c>
      <c r="G552" t="str">
        <f t="shared" si="79"/>
        <v>37</v>
      </c>
      <c r="H552" t="str">
        <f>"12"</f>
        <v>12</v>
      </c>
      <c r="I552" t="s">
        <v>1246</v>
      </c>
      <c r="J552">
        <v>16.754000000000001</v>
      </c>
      <c r="K552">
        <v>0</v>
      </c>
      <c r="L552" t="s">
        <v>28</v>
      </c>
      <c r="M552" t="s">
        <v>2200</v>
      </c>
      <c r="N552">
        <v>1</v>
      </c>
      <c r="O552" t="str">
        <f>"723"</f>
        <v>723</v>
      </c>
      <c r="P552" t="s">
        <v>2201</v>
      </c>
      <c r="Q552" t="s">
        <v>1246</v>
      </c>
      <c r="R552" t="s">
        <v>31</v>
      </c>
      <c r="S552" t="s">
        <v>28</v>
      </c>
      <c r="T552" t="str">
        <f>"08864008"</f>
        <v>08864008</v>
      </c>
      <c r="U552" t="s">
        <v>2202</v>
      </c>
      <c r="V552" t="s">
        <v>2203</v>
      </c>
    </row>
    <row r="553" spans="1:22" x14ac:dyDescent="0.25">
      <c r="A553" t="str">
        <f t="shared" si="73"/>
        <v>10807</v>
      </c>
      <c r="B553" t="s">
        <v>1891</v>
      </c>
      <c r="C553" t="s">
        <v>2002</v>
      </c>
      <c r="D553" t="s">
        <v>2204</v>
      </c>
      <c r="E553" t="s">
        <v>25</v>
      </c>
      <c r="F553" t="s">
        <v>26</v>
      </c>
      <c r="G553" t="str">
        <f t="shared" si="79"/>
        <v>37</v>
      </c>
      <c r="H553" t="str">
        <f>"11"</f>
        <v>11</v>
      </c>
      <c r="I553" t="s">
        <v>1331</v>
      </c>
      <c r="J553">
        <v>20</v>
      </c>
      <c r="K553">
        <v>0</v>
      </c>
      <c r="L553" t="s">
        <v>28</v>
      </c>
      <c r="M553" t="s">
        <v>2205</v>
      </c>
      <c r="N553">
        <v>1</v>
      </c>
      <c r="O553" t="str">
        <f>"722"</f>
        <v>722</v>
      </c>
      <c r="P553" t="s">
        <v>2206</v>
      </c>
      <c r="Q553" t="s">
        <v>1331</v>
      </c>
      <c r="R553" t="s">
        <v>31</v>
      </c>
      <c r="S553" t="s">
        <v>28</v>
      </c>
      <c r="T553" t="str">
        <f>"10268028"</f>
        <v>10268028</v>
      </c>
      <c r="U553" t="s">
        <v>2207</v>
      </c>
      <c r="V553" t="s">
        <v>2208</v>
      </c>
    </row>
    <row r="554" spans="1:22" x14ac:dyDescent="0.25">
      <c r="A554" t="str">
        <f t="shared" si="73"/>
        <v>10807</v>
      </c>
      <c r="B554" t="s">
        <v>1891</v>
      </c>
      <c r="C554" t="s">
        <v>2002</v>
      </c>
      <c r="D554" t="s">
        <v>2209</v>
      </c>
      <c r="E554" t="s">
        <v>25</v>
      </c>
      <c r="F554" t="s">
        <v>26</v>
      </c>
      <c r="G554" t="str">
        <f t="shared" si="79"/>
        <v>37</v>
      </c>
      <c r="H554" t="str">
        <f>"10"</f>
        <v>10</v>
      </c>
      <c r="I554" t="s">
        <v>763</v>
      </c>
      <c r="J554">
        <v>82.816999999999993</v>
      </c>
      <c r="K554">
        <v>0</v>
      </c>
      <c r="L554" t="s">
        <v>28</v>
      </c>
      <c r="M554" t="s">
        <v>2210</v>
      </c>
      <c r="N554">
        <v>1</v>
      </c>
      <c r="O554" t="str">
        <f>"723"</f>
        <v>723</v>
      </c>
      <c r="P554" t="s">
        <v>2131</v>
      </c>
      <c r="Q554" t="s">
        <v>763</v>
      </c>
      <c r="R554" t="s">
        <v>31</v>
      </c>
      <c r="S554" t="s">
        <v>28</v>
      </c>
      <c r="T554" t="str">
        <f>"08261983"</f>
        <v>08261983</v>
      </c>
      <c r="U554" t="s">
        <v>2086</v>
      </c>
      <c r="V554" t="s">
        <v>2087</v>
      </c>
    </row>
    <row r="555" spans="1:22" x14ac:dyDescent="0.25">
      <c r="A555" t="str">
        <f t="shared" si="73"/>
        <v>10807</v>
      </c>
      <c r="B555" t="s">
        <v>1891</v>
      </c>
      <c r="C555" t="s">
        <v>2002</v>
      </c>
      <c r="D555" t="s">
        <v>2211</v>
      </c>
      <c r="E555" t="s">
        <v>25</v>
      </c>
      <c r="F555" t="s">
        <v>26</v>
      </c>
      <c r="G555" t="str">
        <f t="shared" si="79"/>
        <v>37</v>
      </c>
      <c r="H555" t="str">
        <f>"11"</f>
        <v>11</v>
      </c>
      <c r="I555" t="s">
        <v>1331</v>
      </c>
      <c r="J555">
        <v>20</v>
      </c>
      <c r="K555">
        <v>0</v>
      </c>
      <c r="L555" t="s">
        <v>28</v>
      </c>
      <c r="M555" t="s">
        <v>2212</v>
      </c>
      <c r="N555">
        <v>1</v>
      </c>
      <c r="O555" t="str">
        <f>"722"</f>
        <v>722</v>
      </c>
      <c r="P555" t="s">
        <v>2213</v>
      </c>
      <c r="Q555" t="s">
        <v>1331</v>
      </c>
      <c r="R555" t="s">
        <v>31</v>
      </c>
      <c r="S555" t="s">
        <v>28</v>
      </c>
      <c r="T555" t="str">
        <f>"92072326"</f>
        <v>92072326</v>
      </c>
      <c r="U555" t="s">
        <v>2214</v>
      </c>
      <c r="V555" t="s">
        <v>2215</v>
      </c>
    </row>
    <row r="556" spans="1:22" x14ac:dyDescent="0.25">
      <c r="A556" t="str">
        <f t="shared" si="73"/>
        <v>10807</v>
      </c>
      <c r="B556" t="s">
        <v>1891</v>
      </c>
      <c r="C556" t="s">
        <v>2002</v>
      </c>
      <c r="D556" t="s">
        <v>2216</v>
      </c>
      <c r="E556" t="s">
        <v>25</v>
      </c>
      <c r="F556" t="s">
        <v>26</v>
      </c>
      <c r="G556" t="str">
        <f t="shared" si="79"/>
        <v>37</v>
      </c>
      <c r="H556" t="str">
        <f>"12"</f>
        <v>12</v>
      </c>
      <c r="I556" t="s">
        <v>1246</v>
      </c>
      <c r="J556">
        <v>25</v>
      </c>
      <c r="K556">
        <v>0</v>
      </c>
      <c r="L556" t="s">
        <v>28</v>
      </c>
      <c r="M556" t="s">
        <v>2217</v>
      </c>
      <c r="N556">
        <v>1</v>
      </c>
      <c r="O556" t="str">
        <f>"723"</f>
        <v>723</v>
      </c>
      <c r="P556" t="s">
        <v>2005</v>
      </c>
      <c r="Q556" t="s">
        <v>1246</v>
      </c>
      <c r="R556" t="s">
        <v>31</v>
      </c>
      <c r="S556" t="s">
        <v>28</v>
      </c>
      <c r="T556" t="str">
        <f>"76251250"</f>
        <v>76251250</v>
      </c>
      <c r="U556" t="s">
        <v>2006</v>
      </c>
      <c r="V556" t="s">
        <v>2007</v>
      </c>
    </row>
    <row r="557" spans="1:22" x14ac:dyDescent="0.25">
      <c r="A557" t="str">
        <f t="shared" si="73"/>
        <v>10807</v>
      </c>
      <c r="B557" t="s">
        <v>1891</v>
      </c>
      <c r="C557" t="s">
        <v>2002</v>
      </c>
      <c r="D557" t="s">
        <v>2218</v>
      </c>
      <c r="E557" t="s">
        <v>25</v>
      </c>
      <c r="F557" t="s">
        <v>26</v>
      </c>
      <c r="G557" t="str">
        <f t="shared" si="79"/>
        <v>37</v>
      </c>
      <c r="H557" t="str">
        <f>"11"</f>
        <v>11</v>
      </c>
      <c r="I557" t="s">
        <v>1331</v>
      </c>
      <c r="J557">
        <v>20</v>
      </c>
      <c r="K557">
        <v>0</v>
      </c>
      <c r="L557" t="s">
        <v>28</v>
      </c>
      <c r="M557" t="s">
        <v>2219</v>
      </c>
      <c r="N557">
        <v>1</v>
      </c>
      <c r="O557" t="str">
        <f>"722"</f>
        <v>722</v>
      </c>
      <c r="P557" t="s">
        <v>2220</v>
      </c>
      <c r="Q557" t="s">
        <v>1331</v>
      </c>
      <c r="R557" t="s">
        <v>31</v>
      </c>
      <c r="S557" t="s">
        <v>28</v>
      </c>
      <c r="T557" t="str">
        <f>"57989130"</f>
        <v>57989130</v>
      </c>
      <c r="U557" t="s">
        <v>2221</v>
      </c>
      <c r="V557" t="s">
        <v>2110</v>
      </c>
    </row>
    <row r="558" spans="1:22" x14ac:dyDescent="0.25">
      <c r="A558" t="str">
        <f t="shared" si="73"/>
        <v>10807</v>
      </c>
      <c r="B558" t="s">
        <v>1891</v>
      </c>
      <c r="C558" t="s">
        <v>2002</v>
      </c>
      <c r="D558" t="s">
        <v>2222</v>
      </c>
      <c r="E558" t="s">
        <v>25</v>
      </c>
      <c r="F558" t="s">
        <v>26</v>
      </c>
      <c r="G558" t="str">
        <f t="shared" si="79"/>
        <v>37</v>
      </c>
      <c r="H558" t="str">
        <f>"11"</f>
        <v>11</v>
      </c>
      <c r="I558" t="s">
        <v>763</v>
      </c>
      <c r="J558">
        <v>10</v>
      </c>
      <c r="K558">
        <v>0</v>
      </c>
      <c r="L558" t="s">
        <v>28</v>
      </c>
      <c r="M558" t="s">
        <v>2223</v>
      </c>
      <c r="N558">
        <v>1</v>
      </c>
      <c r="O558" t="str">
        <f>"722"</f>
        <v>722</v>
      </c>
      <c r="P558" t="s">
        <v>2224</v>
      </c>
      <c r="Q558" t="s">
        <v>763</v>
      </c>
      <c r="R558" t="s">
        <v>31</v>
      </c>
      <c r="S558" t="s">
        <v>28</v>
      </c>
      <c r="T558" t="str">
        <f>"92073562"</f>
        <v>92073562</v>
      </c>
      <c r="U558" t="s">
        <v>2225</v>
      </c>
      <c r="V558" t="s">
        <v>2226</v>
      </c>
    </row>
    <row r="559" spans="1:22" x14ac:dyDescent="0.25">
      <c r="A559" t="str">
        <f t="shared" si="73"/>
        <v>10807</v>
      </c>
      <c r="B559" t="s">
        <v>1891</v>
      </c>
      <c r="C559" t="s">
        <v>2002</v>
      </c>
      <c r="D559" t="s">
        <v>2227</v>
      </c>
      <c r="E559" t="s">
        <v>25</v>
      </c>
      <c r="F559" t="s">
        <v>26</v>
      </c>
      <c r="G559" t="str">
        <f t="shared" si="79"/>
        <v>37</v>
      </c>
      <c r="H559" t="str">
        <f>"11"</f>
        <v>11</v>
      </c>
      <c r="I559" t="s">
        <v>1253</v>
      </c>
      <c r="J559">
        <v>30</v>
      </c>
      <c r="K559">
        <v>0</v>
      </c>
      <c r="L559" t="s">
        <v>28</v>
      </c>
      <c r="M559" t="s">
        <v>2044</v>
      </c>
      <c r="N559">
        <v>1</v>
      </c>
      <c r="O559" t="str">
        <f>"722"</f>
        <v>722</v>
      </c>
      <c r="P559" t="s">
        <v>2228</v>
      </c>
      <c r="Q559" t="s">
        <v>1253</v>
      </c>
      <c r="R559" t="s">
        <v>31</v>
      </c>
      <c r="S559" t="s">
        <v>28</v>
      </c>
      <c r="T559" t="str">
        <f>"47636025"</f>
        <v>47636025</v>
      </c>
      <c r="U559" t="s">
        <v>2229</v>
      </c>
      <c r="V559" t="s">
        <v>2230</v>
      </c>
    </row>
    <row r="560" spans="1:22" x14ac:dyDescent="0.25">
      <c r="A560" t="str">
        <f t="shared" si="73"/>
        <v>10807</v>
      </c>
      <c r="B560" t="s">
        <v>1891</v>
      </c>
      <c r="C560" t="s">
        <v>2002</v>
      </c>
      <c r="D560" t="s">
        <v>2231</v>
      </c>
      <c r="E560" t="s">
        <v>25</v>
      </c>
      <c r="F560" t="s">
        <v>26</v>
      </c>
      <c r="G560" t="str">
        <f t="shared" si="79"/>
        <v>37</v>
      </c>
      <c r="H560" t="str">
        <f>"12"</f>
        <v>12</v>
      </c>
      <c r="I560" t="s">
        <v>1246</v>
      </c>
      <c r="J560">
        <v>20</v>
      </c>
      <c r="K560">
        <v>0</v>
      </c>
      <c r="L560" t="s">
        <v>28</v>
      </c>
      <c r="M560" t="s">
        <v>2232</v>
      </c>
      <c r="N560">
        <v>1</v>
      </c>
      <c r="O560" t="str">
        <f>"723"</f>
        <v>723</v>
      </c>
      <c r="P560" t="s">
        <v>2233</v>
      </c>
      <c r="Q560" t="s">
        <v>1246</v>
      </c>
      <c r="R560" t="s">
        <v>31</v>
      </c>
      <c r="S560" t="s">
        <v>28</v>
      </c>
      <c r="T560" t="str">
        <f>"19898666"</f>
        <v>19898666</v>
      </c>
      <c r="U560" t="s">
        <v>2234</v>
      </c>
      <c r="V560" t="s">
        <v>2235</v>
      </c>
    </row>
    <row r="561" spans="1:22" x14ac:dyDescent="0.25">
      <c r="A561" t="str">
        <f t="shared" si="73"/>
        <v>10807</v>
      </c>
      <c r="B561" t="s">
        <v>1891</v>
      </c>
      <c r="C561" t="s">
        <v>2002</v>
      </c>
      <c r="D561" t="s">
        <v>2236</v>
      </c>
      <c r="E561" t="s">
        <v>25</v>
      </c>
      <c r="F561" t="s">
        <v>26</v>
      </c>
      <c r="G561" t="str">
        <f t="shared" si="79"/>
        <v>37</v>
      </c>
      <c r="H561" t="str">
        <f>"12"</f>
        <v>12</v>
      </c>
      <c r="I561" t="s">
        <v>1246</v>
      </c>
      <c r="J561">
        <v>20</v>
      </c>
      <c r="K561">
        <v>0</v>
      </c>
      <c r="L561" t="s">
        <v>28</v>
      </c>
      <c r="M561" t="s">
        <v>2237</v>
      </c>
      <c r="N561">
        <v>1</v>
      </c>
      <c r="O561" t="str">
        <f>"723"</f>
        <v>723</v>
      </c>
      <c r="P561" t="s">
        <v>2238</v>
      </c>
      <c r="Q561" t="s">
        <v>1246</v>
      </c>
      <c r="R561" t="s">
        <v>31</v>
      </c>
      <c r="S561" t="s">
        <v>28</v>
      </c>
      <c r="T561" t="str">
        <f>"76251168"</f>
        <v>76251168</v>
      </c>
      <c r="U561" t="s">
        <v>2239</v>
      </c>
      <c r="V561" t="s">
        <v>2240</v>
      </c>
    </row>
    <row r="562" spans="1:22" x14ac:dyDescent="0.25">
      <c r="A562" t="str">
        <f t="shared" si="73"/>
        <v>10807</v>
      </c>
      <c r="B562" t="s">
        <v>1891</v>
      </c>
      <c r="C562" t="s">
        <v>2002</v>
      </c>
      <c r="D562" t="s">
        <v>2241</v>
      </c>
      <c r="E562" t="s">
        <v>25</v>
      </c>
      <c r="F562" t="s">
        <v>26</v>
      </c>
      <c r="G562" t="str">
        <f t="shared" si="79"/>
        <v>37</v>
      </c>
      <c r="H562" t="str">
        <f>"11"</f>
        <v>11</v>
      </c>
      <c r="I562" t="s">
        <v>1253</v>
      </c>
      <c r="J562">
        <v>20</v>
      </c>
      <c r="K562">
        <v>0</v>
      </c>
      <c r="L562" t="s">
        <v>28</v>
      </c>
      <c r="M562" t="s">
        <v>2242</v>
      </c>
      <c r="N562">
        <v>1</v>
      </c>
      <c r="O562" t="str">
        <f>"722"</f>
        <v>722</v>
      </c>
      <c r="P562" t="s">
        <v>2243</v>
      </c>
      <c r="Q562" t="s">
        <v>1253</v>
      </c>
      <c r="R562" t="s">
        <v>31</v>
      </c>
      <c r="S562" t="s">
        <v>28</v>
      </c>
      <c r="T562" t="str">
        <f>"77495493"</f>
        <v>77495493</v>
      </c>
      <c r="U562" t="s">
        <v>2244</v>
      </c>
      <c r="V562" t="s">
        <v>2245</v>
      </c>
    </row>
    <row r="563" spans="1:22" x14ac:dyDescent="0.25">
      <c r="A563" t="str">
        <f t="shared" si="73"/>
        <v>10807</v>
      </c>
      <c r="B563" t="s">
        <v>1891</v>
      </c>
      <c r="C563" t="s">
        <v>2002</v>
      </c>
      <c r="D563" t="s">
        <v>2246</v>
      </c>
      <c r="E563" t="s">
        <v>25</v>
      </c>
      <c r="F563" t="s">
        <v>26</v>
      </c>
      <c r="G563" t="str">
        <f t="shared" si="79"/>
        <v>37</v>
      </c>
      <c r="H563" t="str">
        <f>"11"</f>
        <v>11</v>
      </c>
      <c r="I563" t="s">
        <v>1331</v>
      </c>
      <c r="J563">
        <v>20</v>
      </c>
      <c r="K563">
        <v>0</v>
      </c>
      <c r="L563" t="s">
        <v>28</v>
      </c>
      <c r="M563" t="s">
        <v>2247</v>
      </c>
      <c r="N563">
        <v>1</v>
      </c>
      <c r="O563" t="str">
        <f>"722"</f>
        <v>722</v>
      </c>
      <c r="P563" t="s">
        <v>2248</v>
      </c>
      <c r="Q563" t="s">
        <v>1331</v>
      </c>
      <c r="R563" t="s">
        <v>31</v>
      </c>
      <c r="S563" t="s">
        <v>28</v>
      </c>
      <c r="T563" t="str">
        <f>"10210808"</f>
        <v>10210808</v>
      </c>
      <c r="U563" t="s">
        <v>2249</v>
      </c>
      <c r="V563" t="s">
        <v>2250</v>
      </c>
    </row>
    <row r="564" spans="1:22" x14ac:dyDescent="0.25">
      <c r="A564" t="str">
        <f t="shared" si="73"/>
        <v>10807</v>
      </c>
      <c r="B564" t="s">
        <v>1891</v>
      </c>
      <c r="C564" t="s">
        <v>2002</v>
      </c>
      <c r="D564" t="s">
        <v>2251</v>
      </c>
      <c r="E564" t="s">
        <v>25</v>
      </c>
      <c r="F564" t="s">
        <v>26</v>
      </c>
      <c r="G564" t="str">
        <f t="shared" si="79"/>
        <v>37</v>
      </c>
      <c r="H564" t="str">
        <f>"10"</f>
        <v>10</v>
      </c>
      <c r="I564" t="s">
        <v>1331</v>
      </c>
      <c r="J564">
        <v>66.094999999999999</v>
      </c>
      <c r="K564">
        <v>0</v>
      </c>
      <c r="L564" t="s">
        <v>28</v>
      </c>
      <c r="M564" t="s">
        <v>2252</v>
      </c>
      <c r="N564">
        <v>1</v>
      </c>
      <c r="O564" t="str">
        <f>"723"</f>
        <v>723</v>
      </c>
      <c r="P564" t="s">
        <v>2144</v>
      </c>
      <c r="Q564" t="s">
        <v>1331</v>
      </c>
      <c r="R564" t="s">
        <v>31</v>
      </c>
      <c r="S564" t="s">
        <v>28</v>
      </c>
      <c r="T564" t="str">
        <f>"08261983"</f>
        <v>08261983</v>
      </c>
      <c r="U564" t="s">
        <v>2086</v>
      </c>
      <c r="V564" t="s">
        <v>2087</v>
      </c>
    </row>
    <row r="565" spans="1:22" x14ac:dyDescent="0.25">
      <c r="A565" t="str">
        <f t="shared" si="73"/>
        <v>10807</v>
      </c>
      <c r="B565" t="s">
        <v>1891</v>
      </c>
      <c r="C565" t="s">
        <v>2002</v>
      </c>
      <c r="D565" t="s">
        <v>2253</v>
      </c>
      <c r="E565" t="s">
        <v>25</v>
      </c>
      <c r="F565" t="s">
        <v>26</v>
      </c>
      <c r="G565" t="str">
        <f t="shared" si="79"/>
        <v>37</v>
      </c>
      <c r="H565" t="str">
        <f>"10"</f>
        <v>10</v>
      </c>
      <c r="I565" t="s">
        <v>1331</v>
      </c>
      <c r="J565">
        <v>71.314999999999998</v>
      </c>
      <c r="K565">
        <v>0</v>
      </c>
      <c r="L565" t="s">
        <v>28</v>
      </c>
      <c r="M565" t="s">
        <v>2254</v>
      </c>
      <c r="N565">
        <v>1</v>
      </c>
      <c r="O565" t="str">
        <f>"723"</f>
        <v>723</v>
      </c>
      <c r="P565" t="s">
        <v>2144</v>
      </c>
      <c r="Q565" t="s">
        <v>1331</v>
      </c>
      <c r="R565" t="s">
        <v>31</v>
      </c>
      <c r="S565" t="s">
        <v>28</v>
      </c>
      <c r="T565" t="str">
        <f>"08261983"</f>
        <v>08261983</v>
      </c>
      <c r="U565" t="s">
        <v>2086</v>
      </c>
      <c r="V565" t="s">
        <v>2087</v>
      </c>
    </row>
    <row r="566" spans="1:22" x14ac:dyDescent="0.25">
      <c r="A566" t="str">
        <f t="shared" si="73"/>
        <v>10807</v>
      </c>
      <c r="B566" t="s">
        <v>1891</v>
      </c>
      <c r="C566" t="s">
        <v>2002</v>
      </c>
      <c r="D566" t="s">
        <v>2255</v>
      </c>
      <c r="E566" t="s">
        <v>25</v>
      </c>
      <c r="F566" t="s">
        <v>26</v>
      </c>
      <c r="G566" t="str">
        <f t="shared" si="79"/>
        <v>37</v>
      </c>
      <c r="H566" t="str">
        <f>"11"</f>
        <v>11</v>
      </c>
      <c r="I566" t="s">
        <v>1331</v>
      </c>
      <c r="J566">
        <v>20</v>
      </c>
      <c r="K566">
        <v>0</v>
      </c>
      <c r="L566" t="s">
        <v>28</v>
      </c>
      <c r="M566" t="s">
        <v>2256</v>
      </c>
      <c r="N566">
        <v>1</v>
      </c>
      <c r="O566" t="str">
        <f>"722"</f>
        <v>722</v>
      </c>
      <c r="P566" t="s">
        <v>2257</v>
      </c>
      <c r="Q566" t="s">
        <v>1331</v>
      </c>
      <c r="R566" t="s">
        <v>31</v>
      </c>
      <c r="S566" t="s">
        <v>28</v>
      </c>
      <c r="T566" t="str">
        <f>"26084264"</f>
        <v>26084264</v>
      </c>
      <c r="U566" t="s">
        <v>2258</v>
      </c>
      <c r="V566" t="s">
        <v>2259</v>
      </c>
    </row>
    <row r="567" spans="1:22" x14ac:dyDescent="0.25">
      <c r="A567" t="str">
        <f t="shared" si="73"/>
        <v>10807</v>
      </c>
      <c r="B567" t="s">
        <v>1891</v>
      </c>
      <c r="C567" t="s">
        <v>2002</v>
      </c>
      <c r="D567" t="s">
        <v>2260</v>
      </c>
      <c r="E567" t="s">
        <v>25</v>
      </c>
      <c r="F567" t="s">
        <v>26</v>
      </c>
      <c r="G567" t="str">
        <f t="shared" si="79"/>
        <v>37</v>
      </c>
      <c r="H567" t="str">
        <f>"11"</f>
        <v>11</v>
      </c>
      <c r="I567" t="s">
        <v>1331</v>
      </c>
      <c r="J567">
        <v>20</v>
      </c>
      <c r="K567">
        <v>0</v>
      </c>
      <c r="L567" t="s">
        <v>28</v>
      </c>
      <c r="M567" t="s">
        <v>2261</v>
      </c>
      <c r="N567">
        <v>1</v>
      </c>
      <c r="O567" t="str">
        <f>"722"</f>
        <v>722</v>
      </c>
      <c r="P567" t="s">
        <v>2262</v>
      </c>
      <c r="Q567" t="s">
        <v>1331</v>
      </c>
      <c r="R567" t="s">
        <v>31</v>
      </c>
      <c r="S567" t="s">
        <v>28</v>
      </c>
      <c r="T567" t="str">
        <f>"17013710"</f>
        <v>17013710</v>
      </c>
      <c r="U567" t="s">
        <v>2263</v>
      </c>
      <c r="V567" t="s">
        <v>2264</v>
      </c>
    </row>
    <row r="568" spans="1:22" x14ac:dyDescent="0.25">
      <c r="A568" t="str">
        <f t="shared" si="73"/>
        <v>10807</v>
      </c>
      <c r="B568" t="s">
        <v>1891</v>
      </c>
      <c r="C568" t="s">
        <v>2002</v>
      </c>
      <c r="D568" t="s">
        <v>2265</v>
      </c>
      <c r="E568" t="s">
        <v>25</v>
      </c>
      <c r="F568" t="s">
        <v>26</v>
      </c>
      <c r="G568" t="str">
        <f t="shared" si="79"/>
        <v>37</v>
      </c>
      <c r="H568" t="str">
        <f>"11"</f>
        <v>11</v>
      </c>
      <c r="I568" t="s">
        <v>1253</v>
      </c>
      <c r="J568">
        <v>10</v>
      </c>
      <c r="K568">
        <v>0</v>
      </c>
      <c r="L568" t="s">
        <v>28</v>
      </c>
      <c r="M568" t="s">
        <v>2266</v>
      </c>
      <c r="N568">
        <v>1</v>
      </c>
      <c r="O568" t="str">
        <f>"722"</f>
        <v>722</v>
      </c>
      <c r="P568" t="s">
        <v>2267</v>
      </c>
      <c r="Q568" t="s">
        <v>1253</v>
      </c>
      <c r="R568" t="s">
        <v>31</v>
      </c>
      <c r="S568" t="s">
        <v>28</v>
      </c>
      <c r="T568" t="str">
        <f>"47716060"</f>
        <v>47716060</v>
      </c>
      <c r="U568" t="s">
        <v>2268</v>
      </c>
      <c r="V568" t="s">
        <v>2269</v>
      </c>
    </row>
    <row r="569" spans="1:22" x14ac:dyDescent="0.25">
      <c r="A569" t="str">
        <f t="shared" si="73"/>
        <v>10807</v>
      </c>
      <c r="B569" t="s">
        <v>1891</v>
      </c>
      <c r="C569" t="s">
        <v>2002</v>
      </c>
      <c r="D569" t="s">
        <v>2270</v>
      </c>
      <c r="E569" t="s">
        <v>25</v>
      </c>
      <c r="F569" t="s">
        <v>26</v>
      </c>
      <c r="G569" t="str">
        <f t="shared" si="79"/>
        <v>37</v>
      </c>
      <c r="H569" t="str">
        <f>"11"</f>
        <v>11</v>
      </c>
      <c r="I569" t="s">
        <v>1253</v>
      </c>
      <c r="J569">
        <v>20</v>
      </c>
      <c r="K569">
        <v>0</v>
      </c>
      <c r="L569" t="s">
        <v>28</v>
      </c>
      <c r="M569" t="s">
        <v>2271</v>
      </c>
      <c r="N569">
        <v>1</v>
      </c>
      <c r="O569" t="str">
        <f>"722"</f>
        <v>722</v>
      </c>
      <c r="P569" t="s">
        <v>2272</v>
      </c>
      <c r="Q569" t="s">
        <v>1253</v>
      </c>
      <c r="R569" t="s">
        <v>31</v>
      </c>
      <c r="S569" t="s">
        <v>28</v>
      </c>
      <c r="T569" t="str">
        <f>"98769390"</f>
        <v>98769390</v>
      </c>
      <c r="U569" t="s">
        <v>2273</v>
      </c>
      <c r="V569" t="s">
        <v>2274</v>
      </c>
    </row>
    <row r="570" spans="1:22" x14ac:dyDescent="0.25">
      <c r="A570" t="str">
        <f t="shared" si="73"/>
        <v>10807</v>
      </c>
      <c r="B570" t="s">
        <v>1891</v>
      </c>
      <c r="C570" t="s">
        <v>2002</v>
      </c>
      <c r="D570" t="s">
        <v>2275</v>
      </c>
      <c r="E570" t="s">
        <v>25</v>
      </c>
      <c r="F570" t="s">
        <v>26</v>
      </c>
      <c r="G570" t="str">
        <f t="shared" si="79"/>
        <v>37</v>
      </c>
      <c r="H570" t="str">
        <f>"12"</f>
        <v>12</v>
      </c>
      <c r="I570" t="s">
        <v>1246</v>
      </c>
      <c r="J570">
        <v>20</v>
      </c>
      <c r="K570">
        <v>0</v>
      </c>
      <c r="L570" t="s">
        <v>28</v>
      </c>
      <c r="M570" t="s">
        <v>2276</v>
      </c>
      <c r="N570">
        <v>1</v>
      </c>
      <c r="O570" t="str">
        <f>"723"</f>
        <v>723</v>
      </c>
      <c r="P570" t="s">
        <v>2277</v>
      </c>
      <c r="Q570" t="s">
        <v>1246</v>
      </c>
      <c r="R570" t="s">
        <v>31</v>
      </c>
      <c r="S570" t="s">
        <v>28</v>
      </c>
      <c r="T570" t="str">
        <f>"76249754"</f>
        <v>76249754</v>
      </c>
      <c r="U570" t="s">
        <v>2278</v>
      </c>
      <c r="V570" t="s">
        <v>2279</v>
      </c>
    </row>
    <row r="571" spans="1:22" x14ac:dyDescent="0.25">
      <c r="A571" t="str">
        <f t="shared" ref="A571:A631" si="80">"10807"</f>
        <v>10807</v>
      </c>
      <c r="B571" t="s">
        <v>1891</v>
      </c>
      <c r="C571" t="s">
        <v>2002</v>
      </c>
      <c r="D571" t="s">
        <v>2280</v>
      </c>
      <c r="E571" t="s">
        <v>25</v>
      </c>
      <c r="F571" t="s">
        <v>26</v>
      </c>
      <c r="G571" t="str">
        <f t="shared" ref="G571:G596" si="81">"37"</f>
        <v>37</v>
      </c>
      <c r="H571" t="str">
        <f t="shared" ref="H571:H576" si="82">"11"</f>
        <v>11</v>
      </c>
      <c r="I571" t="s">
        <v>1253</v>
      </c>
      <c r="J571">
        <v>30</v>
      </c>
      <c r="K571">
        <v>0</v>
      </c>
      <c r="L571" t="s">
        <v>28</v>
      </c>
      <c r="M571" t="s">
        <v>2281</v>
      </c>
      <c r="N571">
        <v>1</v>
      </c>
      <c r="O571" t="str">
        <f t="shared" ref="O571:O583" si="83">"722"</f>
        <v>722</v>
      </c>
      <c r="P571" t="s">
        <v>2282</v>
      </c>
      <c r="Q571" t="s">
        <v>1253</v>
      </c>
      <c r="R571" t="s">
        <v>31</v>
      </c>
      <c r="S571" t="s">
        <v>28</v>
      </c>
      <c r="T571" t="str">
        <f>"18417508"</f>
        <v>18417508</v>
      </c>
      <c r="U571" t="s">
        <v>2283</v>
      </c>
      <c r="V571" t="s">
        <v>2284</v>
      </c>
    </row>
    <row r="572" spans="1:22" x14ac:dyDescent="0.25">
      <c r="A572" t="str">
        <f t="shared" si="80"/>
        <v>10807</v>
      </c>
      <c r="B572" t="s">
        <v>1891</v>
      </c>
      <c r="C572" t="s">
        <v>2002</v>
      </c>
      <c r="D572" t="s">
        <v>2285</v>
      </c>
      <c r="E572" t="s">
        <v>25</v>
      </c>
      <c r="F572" t="s">
        <v>26</v>
      </c>
      <c r="G572" t="str">
        <f t="shared" si="81"/>
        <v>37</v>
      </c>
      <c r="H572" t="str">
        <f t="shared" si="82"/>
        <v>11</v>
      </c>
      <c r="I572" t="s">
        <v>27</v>
      </c>
      <c r="J572">
        <v>100</v>
      </c>
      <c r="K572">
        <v>0</v>
      </c>
      <c r="L572" t="s">
        <v>28</v>
      </c>
      <c r="M572" t="s">
        <v>2286</v>
      </c>
      <c r="N572">
        <v>1</v>
      </c>
      <c r="O572" t="str">
        <f t="shared" si="83"/>
        <v>722</v>
      </c>
      <c r="P572" t="s">
        <v>2287</v>
      </c>
      <c r="Q572" t="s">
        <v>27</v>
      </c>
      <c r="R572" t="s">
        <v>31</v>
      </c>
      <c r="S572" t="s">
        <v>28</v>
      </c>
      <c r="T572" t="str">
        <f>"57933586"</f>
        <v>57933586</v>
      </c>
      <c r="U572" t="s">
        <v>2288</v>
      </c>
      <c r="V572" t="s">
        <v>2289</v>
      </c>
    </row>
    <row r="573" spans="1:22" x14ac:dyDescent="0.25">
      <c r="A573" t="str">
        <f t="shared" si="80"/>
        <v>10807</v>
      </c>
      <c r="B573" t="s">
        <v>1891</v>
      </c>
      <c r="C573" t="s">
        <v>2002</v>
      </c>
      <c r="D573" t="s">
        <v>2290</v>
      </c>
      <c r="E573" t="s">
        <v>25</v>
      </c>
      <c r="F573" t="s">
        <v>26</v>
      </c>
      <c r="G573" t="str">
        <f t="shared" si="81"/>
        <v>37</v>
      </c>
      <c r="H573" t="str">
        <f t="shared" si="82"/>
        <v>11</v>
      </c>
      <c r="I573" t="s">
        <v>763</v>
      </c>
      <c r="J573">
        <v>50</v>
      </c>
      <c r="K573">
        <v>0</v>
      </c>
      <c r="L573" t="s">
        <v>28</v>
      </c>
      <c r="M573" t="s">
        <v>2291</v>
      </c>
      <c r="N573">
        <v>1</v>
      </c>
      <c r="O573" t="str">
        <f t="shared" si="83"/>
        <v>722</v>
      </c>
      <c r="P573" t="s">
        <v>2292</v>
      </c>
      <c r="Q573" t="s">
        <v>763</v>
      </c>
      <c r="R573" t="s">
        <v>31</v>
      </c>
      <c r="S573" t="s">
        <v>28</v>
      </c>
      <c r="T573" t="str">
        <f>"99165236"</f>
        <v>99165236</v>
      </c>
      <c r="U573" t="s">
        <v>2293</v>
      </c>
      <c r="V573" t="s">
        <v>2294</v>
      </c>
    </row>
    <row r="574" spans="1:22" x14ac:dyDescent="0.25">
      <c r="A574" t="str">
        <f t="shared" si="80"/>
        <v>10807</v>
      </c>
      <c r="B574" t="s">
        <v>1891</v>
      </c>
      <c r="C574" t="s">
        <v>2002</v>
      </c>
      <c r="D574" t="s">
        <v>2295</v>
      </c>
      <c r="E574" t="s">
        <v>25</v>
      </c>
      <c r="F574" t="s">
        <v>26</v>
      </c>
      <c r="G574" t="str">
        <f t="shared" si="81"/>
        <v>37</v>
      </c>
      <c r="H574" t="str">
        <f t="shared" si="82"/>
        <v>11</v>
      </c>
      <c r="I574" t="s">
        <v>1331</v>
      </c>
      <c r="J574">
        <v>30</v>
      </c>
      <c r="K574">
        <v>0</v>
      </c>
      <c r="L574" t="s">
        <v>28</v>
      </c>
      <c r="M574" t="s">
        <v>2296</v>
      </c>
      <c r="N574">
        <v>1</v>
      </c>
      <c r="O574" t="str">
        <f t="shared" si="83"/>
        <v>722</v>
      </c>
      <c r="P574" t="s">
        <v>2297</v>
      </c>
      <c r="Q574" t="s">
        <v>1331</v>
      </c>
      <c r="R574" t="s">
        <v>31</v>
      </c>
      <c r="S574" t="s">
        <v>28</v>
      </c>
      <c r="T574" t="str">
        <f>"18428580"</f>
        <v>18428580</v>
      </c>
      <c r="U574" t="s">
        <v>2298</v>
      </c>
      <c r="V574" t="s">
        <v>2299</v>
      </c>
    </row>
    <row r="575" spans="1:22" x14ac:dyDescent="0.25">
      <c r="A575" t="str">
        <f t="shared" si="80"/>
        <v>10807</v>
      </c>
      <c r="B575" t="s">
        <v>1891</v>
      </c>
      <c r="C575" t="s">
        <v>2002</v>
      </c>
      <c r="D575" t="s">
        <v>2300</v>
      </c>
      <c r="E575" t="s">
        <v>25</v>
      </c>
      <c r="F575" t="s">
        <v>26</v>
      </c>
      <c r="G575" t="str">
        <f t="shared" si="81"/>
        <v>37</v>
      </c>
      <c r="H575" t="str">
        <f t="shared" si="82"/>
        <v>11</v>
      </c>
      <c r="I575" t="s">
        <v>27</v>
      </c>
      <c r="J575">
        <v>20</v>
      </c>
      <c r="K575">
        <v>0</v>
      </c>
      <c r="L575" t="s">
        <v>28</v>
      </c>
      <c r="M575" t="s">
        <v>2301</v>
      </c>
      <c r="N575">
        <v>1</v>
      </c>
      <c r="O575" t="str">
        <f t="shared" si="83"/>
        <v>722</v>
      </c>
      <c r="P575" t="s">
        <v>2302</v>
      </c>
      <c r="Q575" t="s">
        <v>27</v>
      </c>
      <c r="R575" t="s">
        <v>31</v>
      </c>
      <c r="S575" t="s">
        <v>28</v>
      </c>
      <c r="T575" t="str">
        <f>"92065417"</f>
        <v>92065417</v>
      </c>
      <c r="U575" t="s">
        <v>2303</v>
      </c>
      <c r="V575" t="s">
        <v>2304</v>
      </c>
    </row>
    <row r="576" spans="1:22" x14ac:dyDescent="0.25">
      <c r="A576" t="str">
        <f t="shared" si="80"/>
        <v>10807</v>
      </c>
      <c r="B576" t="s">
        <v>1891</v>
      </c>
      <c r="C576" t="s">
        <v>2002</v>
      </c>
      <c r="D576" t="s">
        <v>2305</v>
      </c>
      <c r="E576" t="s">
        <v>25</v>
      </c>
      <c r="F576" t="s">
        <v>26</v>
      </c>
      <c r="G576" t="str">
        <f t="shared" si="81"/>
        <v>37</v>
      </c>
      <c r="H576" t="str">
        <f t="shared" si="82"/>
        <v>11</v>
      </c>
      <c r="I576" t="s">
        <v>763</v>
      </c>
      <c r="J576">
        <v>300</v>
      </c>
      <c r="K576">
        <v>0</v>
      </c>
      <c r="L576" t="s">
        <v>28</v>
      </c>
      <c r="M576" t="s">
        <v>2306</v>
      </c>
      <c r="N576">
        <v>1</v>
      </c>
      <c r="O576" t="str">
        <f t="shared" si="83"/>
        <v>722</v>
      </c>
      <c r="P576" t="s">
        <v>2307</v>
      </c>
      <c r="Q576" t="s">
        <v>763</v>
      </c>
      <c r="R576" t="s">
        <v>31</v>
      </c>
      <c r="S576" t="s">
        <v>28</v>
      </c>
      <c r="T576" t="str">
        <f>"85502308"</f>
        <v>85502308</v>
      </c>
      <c r="U576" t="s">
        <v>2308</v>
      </c>
      <c r="V576" t="s">
        <v>2309</v>
      </c>
    </row>
    <row r="577" spans="1:22" x14ac:dyDescent="0.25">
      <c r="A577" t="str">
        <f t="shared" si="80"/>
        <v>10807</v>
      </c>
      <c r="B577" t="s">
        <v>1891</v>
      </c>
      <c r="C577" t="s">
        <v>2002</v>
      </c>
      <c r="D577" t="s">
        <v>2310</v>
      </c>
      <c r="E577" t="s">
        <v>25</v>
      </c>
      <c r="F577" t="s">
        <v>26</v>
      </c>
      <c r="G577" t="str">
        <f t="shared" si="81"/>
        <v>37</v>
      </c>
      <c r="H577" t="str">
        <f>"10"</f>
        <v>10</v>
      </c>
      <c r="I577" t="s">
        <v>2311</v>
      </c>
      <c r="J577">
        <v>427.88299999999998</v>
      </c>
      <c r="K577">
        <v>0</v>
      </c>
      <c r="L577" t="s">
        <v>28</v>
      </c>
      <c r="M577" t="s">
        <v>2312</v>
      </c>
      <c r="N577">
        <v>1</v>
      </c>
      <c r="O577" t="str">
        <f t="shared" si="83"/>
        <v>722</v>
      </c>
      <c r="P577" t="s">
        <v>2313</v>
      </c>
      <c r="Q577" t="s">
        <v>2311</v>
      </c>
      <c r="R577" t="s">
        <v>31</v>
      </c>
      <c r="S577" t="s">
        <v>28</v>
      </c>
      <c r="T577" t="str">
        <f>"92086525"</f>
        <v>92086525</v>
      </c>
      <c r="U577" t="s">
        <v>2314</v>
      </c>
      <c r="V577" t="s">
        <v>2315</v>
      </c>
    </row>
    <row r="578" spans="1:22" x14ac:dyDescent="0.25">
      <c r="A578" t="str">
        <f t="shared" si="80"/>
        <v>10807</v>
      </c>
      <c r="B578" t="s">
        <v>2316</v>
      </c>
      <c r="C578" t="s">
        <v>2317</v>
      </c>
      <c r="D578" t="s">
        <v>2318</v>
      </c>
      <c r="E578" t="s">
        <v>25</v>
      </c>
      <c r="F578" t="s">
        <v>26</v>
      </c>
      <c r="G578" t="str">
        <f t="shared" si="81"/>
        <v>37</v>
      </c>
      <c r="H578" t="str">
        <f t="shared" ref="H578:H583" si="84">"11"</f>
        <v>11</v>
      </c>
      <c r="I578" t="s">
        <v>37</v>
      </c>
      <c r="J578">
        <v>100</v>
      </c>
      <c r="K578">
        <v>0</v>
      </c>
      <c r="L578" t="s">
        <v>28</v>
      </c>
      <c r="M578" t="s">
        <v>2319</v>
      </c>
      <c r="N578">
        <v>1</v>
      </c>
      <c r="O578" t="str">
        <f t="shared" si="83"/>
        <v>722</v>
      </c>
      <c r="P578" t="s">
        <v>2320</v>
      </c>
      <c r="Q578" t="s">
        <v>37</v>
      </c>
      <c r="R578" t="s">
        <v>31</v>
      </c>
      <c r="S578" t="s">
        <v>28</v>
      </c>
      <c r="T578" t="str">
        <f>"49995855"</f>
        <v>49995855</v>
      </c>
      <c r="U578" t="s">
        <v>2321</v>
      </c>
      <c r="V578" t="s">
        <v>2322</v>
      </c>
    </row>
    <row r="579" spans="1:22" x14ac:dyDescent="0.25">
      <c r="A579" t="str">
        <f t="shared" si="80"/>
        <v>10807</v>
      </c>
      <c r="B579" t="s">
        <v>2316</v>
      </c>
      <c r="C579" t="s">
        <v>2317</v>
      </c>
      <c r="D579" t="s">
        <v>2323</v>
      </c>
      <c r="E579" t="s">
        <v>25</v>
      </c>
      <c r="F579" t="s">
        <v>26</v>
      </c>
      <c r="G579" t="str">
        <f t="shared" si="81"/>
        <v>37</v>
      </c>
      <c r="H579" t="str">
        <f t="shared" si="84"/>
        <v>11</v>
      </c>
      <c r="I579" t="s">
        <v>37</v>
      </c>
      <c r="J579">
        <v>40</v>
      </c>
      <c r="K579">
        <v>0</v>
      </c>
      <c r="L579" t="s">
        <v>28</v>
      </c>
      <c r="M579" t="s">
        <v>2324</v>
      </c>
      <c r="N579">
        <v>1</v>
      </c>
      <c r="O579" t="str">
        <f t="shared" si="83"/>
        <v>722</v>
      </c>
      <c r="P579" t="s">
        <v>2325</v>
      </c>
      <c r="Q579" t="s">
        <v>37</v>
      </c>
      <c r="R579" t="s">
        <v>31</v>
      </c>
      <c r="S579" t="s">
        <v>28</v>
      </c>
      <c r="T579" t="str">
        <f>"78525777"</f>
        <v>78525777</v>
      </c>
      <c r="U579" t="s">
        <v>2326</v>
      </c>
      <c r="V579" t="s">
        <v>2327</v>
      </c>
    </row>
    <row r="580" spans="1:22" x14ac:dyDescent="0.25">
      <c r="A580" t="str">
        <f t="shared" si="80"/>
        <v>10807</v>
      </c>
      <c r="B580" t="s">
        <v>2316</v>
      </c>
      <c r="C580" t="s">
        <v>2317</v>
      </c>
      <c r="D580" t="s">
        <v>2328</v>
      </c>
      <c r="E580" t="s">
        <v>25</v>
      </c>
      <c r="F580" t="s">
        <v>26</v>
      </c>
      <c r="G580" t="str">
        <f t="shared" si="81"/>
        <v>37</v>
      </c>
      <c r="H580" t="str">
        <f t="shared" si="84"/>
        <v>11</v>
      </c>
      <c r="I580" t="s">
        <v>37</v>
      </c>
      <c r="J580">
        <v>80</v>
      </c>
      <c r="K580">
        <v>0</v>
      </c>
      <c r="L580" t="s">
        <v>28</v>
      </c>
      <c r="M580" t="s">
        <v>2329</v>
      </c>
      <c r="N580">
        <v>1</v>
      </c>
      <c r="O580" t="str">
        <f t="shared" si="83"/>
        <v>722</v>
      </c>
      <c r="P580" t="s">
        <v>2325</v>
      </c>
      <c r="Q580" t="s">
        <v>37</v>
      </c>
      <c r="R580" t="s">
        <v>31</v>
      </c>
      <c r="S580" t="s">
        <v>28</v>
      </c>
      <c r="T580" t="str">
        <f>"78525777"</f>
        <v>78525777</v>
      </c>
      <c r="U580" t="s">
        <v>2326</v>
      </c>
      <c r="V580" t="s">
        <v>2327</v>
      </c>
    </row>
    <row r="581" spans="1:22" x14ac:dyDescent="0.25">
      <c r="A581" t="str">
        <f t="shared" si="80"/>
        <v>10807</v>
      </c>
      <c r="B581" t="s">
        <v>2316</v>
      </c>
      <c r="C581" t="s">
        <v>2317</v>
      </c>
      <c r="D581" t="s">
        <v>2330</v>
      </c>
      <c r="E581" t="s">
        <v>25</v>
      </c>
      <c r="F581" t="s">
        <v>26</v>
      </c>
      <c r="G581" t="str">
        <f t="shared" si="81"/>
        <v>37</v>
      </c>
      <c r="H581" t="str">
        <f t="shared" si="84"/>
        <v>11</v>
      </c>
      <c r="I581" t="s">
        <v>37</v>
      </c>
      <c r="J581">
        <v>50</v>
      </c>
      <c r="K581">
        <v>0</v>
      </c>
      <c r="L581" t="s">
        <v>28</v>
      </c>
      <c r="M581" t="s">
        <v>2331</v>
      </c>
      <c r="N581">
        <v>1</v>
      </c>
      <c r="O581" t="str">
        <f t="shared" si="83"/>
        <v>722</v>
      </c>
      <c r="P581" t="s">
        <v>2332</v>
      </c>
      <c r="Q581" t="s">
        <v>37</v>
      </c>
      <c r="R581" t="s">
        <v>31</v>
      </c>
      <c r="S581" t="s">
        <v>28</v>
      </c>
      <c r="T581" t="str">
        <f>"98228698"</f>
        <v>98228698</v>
      </c>
      <c r="U581" t="s">
        <v>2333</v>
      </c>
      <c r="V581" t="s">
        <v>2334</v>
      </c>
    </row>
    <row r="582" spans="1:22" x14ac:dyDescent="0.25">
      <c r="A582" t="str">
        <f t="shared" si="80"/>
        <v>10807</v>
      </c>
      <c r="B582" t="s">
        <v>2316</v>
      </c>
      <c r="C582" t="s">
        <v>2317</v>
      </c>
      <c r="D582" t="s">
        <v>2335</v>
      </c>
      <c r="E582" t="s">
        <v>25</v>
      </c>
      <c r="F582" t="s">
        <v>26</v>
      </c>
      <c r="G582" t="str">
        <f t="shared" si="81"/>
        <v>37</v>
      </c>
      <c r="H582" t="str">
        <f t="shared" si="84"/>
        <v>11</v>
      </c>
      <c r="I582" t="s">
        <v>1228</v>
      </c>
      <c r="J582">
        <v>30</v>
      </c>
      <c r="K582">
        <v>0</v>
      </c>
      <c r="L582" t="s">
        <v>28</v>
      </c>
      <c r="M582" t="s">
        <v>2336</v>
      </c>
      <c r="N582">
        <v>1</v>
      </c>
      <c r="O582" t="str">
        <f t="shared" si="83"/>
        <v>722</v>
      </c>
      <c r="P582" t="s">
        <v>2337</v>
      </c>
      <c r="Q582" t="s">
        <v>1228</v>
      </c>
      <c r="R582" t="s">
        <v>31</v>
      </c>
      <c r="S582" t="s">
        <v>28</v>
      </c>
      <c r="T582" t="str">
        <f>"30113939"</f>
        <v>30113939</v>
      </c>
      <c r="U582" t="s">
        <v>2338</v>
      </c>
      <c r="V582" t="s">
        <v>2339</v>
      </c>
    </row>
    <row r="583" spans="1:22" x14ac:dyDescent="0.25">
      <c r="A583" t="str">
        <f t="shared" si="80"/>
        <v>10807</v>
      </c>
      <c r="B583" t="s">
        <v>2316</v>
      </c>
      <c r="C583" t="s">
        <v>2317</v>
      </c>
      <c r="D583" t="s">
        <v>2340</v>
      </c>
      <c r="E583" t="s">
        <v>25</v>
      </c>
      <c r="F583" t="s">
        <v>26</v>
      </c>
      <c r="G583" t="str">
        <f t="shared" si="81"/>
        <v>37</v>
      </c>
      <c r="H583" t="str">
        <f t="shared" si="84"/>
        <v>11</v>
      </c>
      <c r="I583" t="s">
        <v>37</v>
      </c>
      <c r="J583">
        <v>40</v>
      </c>
      <c r="K583">
        <v>0</v>
      </c>
      <c r="L583" t="s">
        <v>28</v>
      </c>
      <c r="M583" t="s">
        <v>2341</v>
      </c>
      <c r="N583">
        <v>1</v>
      </c>
      <c r="O583" t="str">
        <f t="shared" si="83"/>
        <v>722</v>
      </c>
      <c r="P583" t="s">
        <v>2342</v>
      </c>
      <c r="Q583" t="s">
        <v>37</v>
      </c>
      <c r="R583" t="s">
        <v>31</v>
      </c>
      <c r="S583" t="s">
        <v>28</v>
      </c>
      <c r="T583" t="str">
        <f>"98636456"</f>
        <v>98636456</v>
      </c>
      <c r="U583" t="s">
        <v>2343</v>
      </c>
      <c r="V583" t="s">
        <v>2344</v>
      </c>
    </row>
    <row r="584" spans="1:22" x14ac:dyDescent="0.25">
      <c r="A584" t="str">
        <f t="shared" si="80"/>
        <v>10807</v>
      </c>
      <c r="B584" t="s">
        <v>2316</v>
      </c>
      <c r="C584" t="s">
        <v>2317</v>
      </c>
      <c r="D584" t="s">
        <v>2345</v>
      </c>
      <c r="E584" t="s">
        <v>25</v>
      </c>
      <c r="F584" t="s">
        <v>26</v>
      </c>
      <c r="G584" t="str">
        <f t="shared" si="81"/>
        <v>37</v>
      </c>
      <c r="H584" t="str">
        <f>"10"</f>
        <v>10</v>
      </c>
      <c r="I584" t="s">
        <v>37</v>
      </c>
      <c r="J584">
        <v>100</v>
      </c>
      <c r="K584">
        <v>0</v>
      </c>
      <c r="L584" t="s">
        <v>28</v>
      </c>
      <c r="M584" t="s">
        <v>2346</v>
      </c>
      <c r="N584">
        <v>1</v>
      </c>
      <c r="O584" t="str">
        <f>"723"</f>
        <v>723</v>
      </c>
      <c r="P584" t="s">
        <v>2347</v>
      </c>
      <c r="Q584" t="s">
        <v>37</v>
      </c>
      <c r="R584" t="s">
        <v>31</v>
      </c>
      <c r="S584" t="s">
        <v>28</v>
      </c>
      <c r="T584" t="str">
        <f>"43501200"</f>
        <v>43501200</v>
      </c>
      <c r="U584" t="s">
        <v>2348</v>
      </c>
      <c r="V584" t="s">
        <v>2349</v>
      </c>
    </row>
    <row r="585" spans="1:22" x14ac:dyDescent="0.25">
      <c r="A585" t="str">
        <f t="shared" si="80"/>
        <v>10807</v>
      </c>
      <c r="B585" t="s">
        <v>2316</v>
      </c>
      <c r="C585" t="s">
        <v>2317</v>
      </c>
      <c r="D585" t="s">
        <v>2350</v>
      </c>
      <c r="E585" t="s">
        <v>25</v>
      </c>
      <c r="F585" t="s">
        <v>26</v>
      </c>
      <c r="G585" t="str">
        <f t="shared" si="81"/>
        <v>37</v>
      </c>
      <c r="H585" t="str">
        <f t="shared" ref="H585:H591" si="85">"11"</f>
        <v>11</v>
      </c>
      <c r="I585" t="s">
        <v>37</v>
      </c>
      <c r="J585">
        <v>50</v>
      </c>
      <c r="K585">
        <v>0</v>
      </c>
      <c r="L585" t="s">
        <v>28</v>
      </c>
      <c r="M585" t="s">
        <v>2351</v>
      </c>
      <c r="N585">
        <v>1</v>
      </c>
      <c r="O585" t="str">
        <f t="shared" ref="O585:O591" si="86">"722"</f>
        <v>722</v>
      </c>
      <c r="P585" t="s">
        <v>2342</v>
      </c>
      <c r="Q585" t="s">
        <v>37</v>
      </c>
      <c r="R585" t="s">
        <v>31</v>
      </c>
      <c r="S585" t="s">
        <v>28</v>
      </c>
      <c r="T585" t="str">
        <f>"98636456"</f>
        <v>98636456</v>
      </c>
      <c r="U585" t="s">
        <v>2343</v>
      </c>
      <c r="V585" t="s">
        <v>2344</v>
      </c>
    </row>
    <row r="586" spans="1:22" x14ac:dyDescent="0.25">
      <c r="A586" t="str">
        <f t="shared" si="80"/>
        <v>10807</v>
      </c>
      <c r="B586" t="s">
        <v>2316</v>
      </c>
      <c r="C586" t="s">
        <v>2317</v>
      </c>
      <c r="D586" t="s">
        <v>2352</v>
      </c>
      <c r="E586" t="s">
        <v>25</v>
      </c>
      <c r="F586" t="s">
        <v>26</v>
      </c>
      <c r="G586" t="str">
        <f t="shared" si="81"/>
        <v>37</v>
      </c>
      <c r="H586" t="str">
        <f t="shared" si="85"/>
        <v>11</v>
      </c>
      <c r="I586" t="s">
        <v>2353</v>
      </c>
      <c r="J586">
        <v>10</v>
      </c>
      <c r="K586">
        <v>0</v>
      </c>
      <c r="L586" t="s">
        <v>28</v>
      </c>
      <c r="M586" t="s">
        <v>2354</v>
      </c>
      <c r="N586">
        <v>1</v>
      </c>
      <c r="O586" t="str">
        <f t="shared" si="86"/>
        <v>722</v>
      </c>
      <c r="P586" t="s">
        <v>2355</v>
      </c>
      <c r="Q586" t="s">
        <v>27</v>
      </c>
      <c r="R586" t="s">
        <v>31</v>
      </c>
      <c r="S586" t="s">
        <v>28</v>
      </c>
      <c r="T586" t="str">
        <f>"41485507"</f>
        <v>41485507</v>
      </c>
      <c r="U586" t="s">
        <v>2356</v>
      </c>
      <c r="V586" t="s">
        <v>2357</v>
      </c>
    </row>
    <row r="587" spans="1:22" x14ac:dyDescent="0.25">
      <c r="A587" t="str">
        <f t="shared" si="80"/>
        <v>10807</v>
      </c>
      <c r="B587" t="s">
        <v>2316</v>
      </c>
      <c r="C587" t="s">
        <v>2317</v>
      </c>
      <c r="D587" t="s">
        <v>2358</v>
      </c>
      <c r="E587" t="s">
        <v>25</v>
      </c>
      <c r="F587" t="s">
        <v>26</v>
      </c>
      <c r="G587" t="str">
        <f t="shared" si="81"/>
        <v>37</v>
      </c>
      <c r="H587" t="str">
        <f t="shared" si="85"/>
        <v>11</v>
      </c>
      <c r="I587" t="s">
        <v>37</v>
      </c>
      <c r="J587">
        <v>50</v>
      </c>
      <c r="K587">
        <v>0</v>
      </c>
      <c r="L587" t="s">
        <v>28</v>
      </c>
      <c r="M587" t="s">
        <v>2359</v>
      </c>
      <c r="N587">
        <v>1</v>
      </c>
      <c r="O587" t="str">
        <f t="shared" si="86"/>
        <v>722</v>
      </c>
      <c r="P587" t="s">
        <v>2325</v>
      </c>
      <c r="Q587" t="s">
        <v>37</v>
      </c>
      <c r="R587" t="s">
        <v>31</v>
      </c>
      <c r="S587" t="s">
        <v>28</v>
      </c>
      <c r="T587" t="str">
        <f>"78525777"</f>
        <v>78525777</v>
      </c>
      <c r="U587" t="s">
        <v>2326</v>
      </c>
      <c r="V587" t="s">
        <v>2327</v>
      </c>
    </row>
    <row r="588" spans="1:22" x14ac:dyDescent="0.25">
      <c r="A588" t="str">
        <f t="shared" si="80"/>
        <v>10807</v>
      </c>
      <c r="B588" t="s">
        <v>2316</v>
      </c>
      <c r="C588" t="s">
        <v>2317</v>
      </c>
      <c r="D588" t="s">
        <v>2360</v>
      </c>
      <c r="E588" t="s">
        <v>25</v>
      </c>
      <c r="F588" t="s">
        <v>26</v>
      </c>
      <c r="G588" t="str">
        <f t="shared" si="81"/>
        <v>37</v>
      </c>
      <c r="H588" t="str">
        <f t="shared" si="85"/>
        <v>11</v>
      </c>
      <c r="I588" t="s">
        <v>2353</v>
      </c>
      <c r="J588">
        <v>100</v>
      </c>
      <c r="K588">
        <v>0</v>
      </c>
      <c r="L588" t="s">
        <v>28</v>
      </c>
      <c r="M588" t="s">
        <v>2361</v>
      </c>
      <c r="N588">
        <v>1</v>
      </c>
      <c r="O588" t="str">
        <f t="shared" si="86"/>
        <v>722</v>
      </c>
      <c r="P588" t="s">
        <v>2362</v>
      </c>
      <c r="Q588" t="s">
        <v>27</v>
      </c>
      <c r="R588" t="s">
        <v>31</v>
      </c>
      <c r="S588" t="s">
        <v>28</v>
      </c>
      <c r="T588" t="str">
        <f>"30249056"</f>
        <v>30249056</v>
      </c>
      <c r="U588" t="s">
        <v>2363</v>
      </c>
      <c r="V588" t="s">
        <v>2364</v>
      </c>
    </row>
    <row r="589" spans="1:22" x14ac:dyDescent="0.25">
      <c r="A589" t="str">
        <f t="shared" si="80"/>
        <v>10807</v>
      </c>
      <c r="B589" t="s">
        <v>2316</v>
      </c>
      <c r="C589" t="s">
        <v>2317</v>
      </c>
      <c r="D589" t="s">
        <v>2365</v>
      </c>
      <c r="E589" t="s">
        <v>25</v>
      </c>
      <c r="F589" t="s">
        <v>26</v>
      </c>
      <c r="G589" t="str">
        <f t="shared" si="81"/>
        <v>37</v>
      </c>
      <c r="H589" t="str">
        <f t="shared" si="85"/>
        <v>11</v>
      </c>
      <c r="I589" t="s">
        <v>37</v>
      </c>
      <c r="J589">
        <v>100</v>
      </c>
      <c r="K589">
        <v>0</v>
      </c>
      <c r="L589" t="s">
        <v>28</v>
      </c>
      <c r="M589" t="s">
        <v>2366</v>
      </c>
      <c r="N589">
        <v>1</v>
      </c>
      <c r="O589" t="str">
        <f t="shared" si="86"/>
        <v>722</v>
      </c>
      <c r="P589" t="s">
        <v>2320</v>
      </c>
      <c r="Q589" t="s">
        <v>37</v>
      </c>
      <c r="R589" t="s">
        <v>31</v>
      </c>
      <c r="S589" t="s">
        <v>28</v>
      </c>
      <c r="T589" t="str">
        <f>"49995855"</f>
        <v>49995855</v>
      </c>
      <c r="U589" t="s">
        <v>2321</v>
      </c>
      <c r="V589" t="s">
        <v>2322</v>
      </c>
    </row>
    <row r="590" spans="1:22" x14ac:dyDescent="0.25">
      <c r="A590" t="str">
        <f t="shared" si="80"/>
        <v>10807</v>
      </c>
      <c r="B590" t="s">
        <v>2316</v>
      </c>
      <c r="C590" t="s">
        <v>2317</v>
      </c>
      <c r="D590" t="s">
        <v>2367</v>
      </c>
      <c r="E590" t="s">
        <v>25</v>
      </c>
      <c r="F590" t="s">
        <v>26</v>
      </c>
      <c r="G590" t="str">
        <f t="shared" si="81"/>
        <v>37</v>
      </c>
      <c r="H590" t="str">
        <f t="shared" si="85"/>
        <v>11</v>
      </c>
      <c r="I590" t="s">
        <v>37</v>
      </c>
      <c r="J590">
        <v>50</v>
      </c>
      <c r="K590">
        <v>0</v>
      </c>
      <c r="L590" t="s">
        <v>28</v>
      </c>
      <c r="M590" t="s">
        <v>2368</v>
      </c>
      <c r="N590">
        <v>1</v>
      </c>
      <c r="O590" t="str">
        <f t="shared" si="86"/>
        <v>722</v>
      </c>
      <c r="P590" t="s">
        <v>2325</v>
      </c>
      <c r="Q590" t="s">
        <v>37</v>
      </c>
      <c r="R590" t="s">
        <v>31</v>
      </c>
      <c r="S590" t="s">
        <v>28</v>
      </c>
      <c r="T590" t="str">
        <f>"78525777"</f>
        <v>78525777</v>
      </c>
      <c r="U590" t="s">
        <v>2326</v>
      </c>
      <c r="V590" t="s">
        <v>2327</v>
      </c>
    </row>
    <row r="591" spans="1:22" x14ac:dyDescent="0.25">
      <c r="A591" t="str">
        <f t="shared" si="80"/>
        <v>10807</v>
      </c>
      <c r="B591" t="s">
        <v>2316</v>
      </c>
      <c r="C591" t="s">
        <v>2317</v>
      </c>
      <c r="D591" t="s">
        <v>2369</v>
      </c>
      <c r="E591" t="s">
        <v>25</v>
      </c>
      <c r="F591" t="s">
        <v>26</v>
      </c>
      <c r="G591" t="str">
        <f t="shared" si="81"/>
        <v>37</v>
      </c>
      <c r="H591" t="str">
        <f t="shared" si="85"/>
        <v>11</v>
      </c>
      <c r="I591" t="s">
        <v>2353</v>
      </c>
      <c r="J591">
        <v>40</v>
      </c>
      <c r="K591">
        <v>0</v>
      </c>
      <c r="L591" t="s">
        <v>28</v>
      </c>
      <c r="M591" t="s">
        <v>2370</v>
      </c>
      <c r="N591">
        <v>1</v>
      </c>
      <c r="O591" t="str">
        <f t="shared" si="86"/>
        <v>722</v>
      </c>
      <c r="P591" t="s">
        <v>2371</v>
      </c>
      <c r="Q591" t="s">
        <v>27</v>
      </c>
      <c r="R591" t="s">
        <v>31</v>
      </c>
      <c r="S591" t="s">
        <v>28</v>
      </c>
      <c r="T591" t="str">
        <f>"19991868"</f>
        <v>19991868</v>
      </c>
      <c r="U591" t="s">
        <v>2372</v>
      </c>
      <c r="V591" t="s">
        <v>2373</v>
      </c>
    </row>
    <row r="592" spans="1:22" x14ac:dyDescent="0.25">
      <c r="A592" t="str">
        <f t="shared" si="80"/>
        <v>10807</v>
      </c>
      <c r="B592" t="s">
        <v>2316</v>
      </c>
      <c r="C592" t="s">
        <v>2317</v>
      </c>
      <c r="D592" t="s">
        <v>2374</v>
      </c>
      <c r="E592" t="s">
        <v>25</v>
      </c>
      <c r="F592" t="s">
        <v>26</v>
      </c>
      <c r="G592" t="str">
        <f t="shared" si="81"/>
        <v>37</v>
      </c>
      <c r="H592" t="str">
        <f>"42"</f>
        <v>42</v>
      </c>
      <c r="I592" t="s">
        <v>1027</v>
      </c>
      <c r="J592">
        <v>10</v>
      </c>
      <c r="K592">
        <v>0</v>
      </c>
      <c r="L592" t="s">
        <v>28</v>
      </c>
      <c r="M592" t="s">
        <v>2375</v>
      </c>
      <c r="N592">
        <v>1</v>
      </c>
      <c r="O592" t="str">
        <f>"721"</f>
        <v>721</v>
      </c>
      <c r="P592" t="s">
        <v>2376</v>
      </c>
      <c r="Q592" t="s">
        <v>1027</v>
      </c>
      <c r="R592" t="s">
        <v>31</v>
      </c>
      <c r="S592" t="s">
        <v>28</v>
      </c>
      <c r="T592" t="str">
        <f>"43504109"</f>
        <v>43504109</v>
      </c>
      <c r="U592" t="s">
        <v>2377</v>
      </c>
      <c r="V592" t="s">
        <v>2378</v>
      </c>
    </row>
    <row r="593" spans="1:22" x14ac:dyDescent="0.25">
      <c r="A593" t="str">
        <f t="shared" si="80"/>
        <v>10807</v>
      </c>
      <c r="B593" t="s">
        <v>2316</v>
      </c>
      <c r="C593" t="s">
        <v>2317</v>
      </c>
      <c r="D593" t="s">
        <v>2379</v>
      </c>
      <c r="E593" t="s">
        <v>25</v>
      </c>
      <c r="F593" t="s">
        <v>26</v>
      </c>
      <c r="G593" t="str">
        <f t="shared" si="81"/>
        <v>37</v>
      </c>
      <c r="H593" t="str">
        <f>"11"</f>
        <v>11</v>
      </c>
      <c r="I593" t="s">
        <v>2353</v>
      </c>
      <c r="J593">
        <v>10</v>
      </c>
      <c r="K593">
        <v>0</v>
      </c>
      <c r="L593" t="s">
        <v>28</v>
      </c>
      <c r="M593" t="s">
        <v>2380</v>
      </c>
      <c r="N593">
        <v>1</v>
      </c>
      <c r="O593" t="str">
        <f>"722"</f>
        <v>722</v>
      </c>
      <c r="P593" t="s">
        <v>2381</v>
      </c>
      <c r="Q593" t="s">
        <v>27</v>
      </c>
      <c r="R593" t="s">
        <v>31</v>
      </c>
      <c r="S593" t="s">
        <v>28</v>
      </c>
      <c r="T593" t="str">
        <f>"31466116"</f>
        <v>31466116</v>
      </c>
      <c r="U593" t="s">
        <v>2382</v>
      </c>
      <c r="V593" t="s">
        <v>2383</v>
      </c>
    </row>
    <row r="594" spans="1:22" x14ac:dyDescent="0.25">
      <c r="A594" t="str">
        <f t="shared" si="80"/>
        <v>10807</v>
      </c>
      <c r="B594" t="s">
        <v>2316</v>
      </c>
      <c r="C594" t="s">
        <v>2317</v>
      </c>
      <c r="D594" t="s">
        <v>2384</v>
      </c>
      <c r="E594" t="s">
        <v>25</v>
      </c>
      <c r="F594" t="s">
        <v>26</v>
      </c>
      <c r="G594" t="str">
        <f t="shared" si="81"/>
        <v>37</v>
      </c>
      <c r="H594" t="str">
        <f>"11"</f>
        <v>11</v>
      </c>
      <c r="I594" t="s">
        <v>37</v>
      </c>
      <c r="J594">
        <v>50</v>
      </c>
      <c r="K594">
        <v>0</v>
      </c>
      <c r="L594" t="s">
        <v>28</v>
      </c>
      <c r="M594" t="s">
        <v>2385</v>
      </c>
      <c r="N594">
        <v>1</v>
      </c>
      <c r="O594" t="str">
        <f>"722"</f>
        <v>722</v>
      </c>
      <c r="P594" t="s">
        <v>2325</v>
      </c>
      <c r="Q594" t="s">
        <v>37</v>
      </c>
      <c r="R594" t="s">
        <v>31</v>
      </c>
      <c r="S594" t="s">
        <v>28</v>
      </c>
      <c r="T594" t="str">
        <f>"78525777"</f>
        <v>78525777</v>
      </c>
      <c r="U594" t="s">
        <v>2326</v>
      </c>
      <c r="V594" t="s">
        <v>2327</v>
      </c>
    </row>
    <row r="595" spans="1:22" x14ac:dyDescent="0.25">
      <c r="A595" t="str">
        <f t="shared" si="80"/>
        <v>10807</v>
      </c>
      <c r="B595" t="s">
        <v>2316</v>
      </c>
      <c r="C595" t="s">
        <v>2317</v>
      </c>
      <c r="D595" t="s">
        <v>2386</v>
      </c>
      <c r="E595" t="s">
        <v>25</v>
      </c>
      <c r="F595" t="s">
        <v>26</v>
      </c>
      <c r="G595" t="str">
        <f t="shared" si="81"/>
        <v>37</v>
      </c>
      <c r="H595" t="str">
        <f>"10"</f>
        <v>10</v>
      </c>
      <c r="I595" t="s">
        <v>2387</v>
      </c>
      <c r="J595">
        <v>96.5</v>
      </c>
      <c r="K595">
        <v>0</v>
      </c>
      <c r="L595" t="s">
        <v>28</v>
      </c>
      <c r="M595" t="s">
        <v>2388</v>
      </c>
      <c r="N595">
        <v>1</v>
      </c>
      <c r="O595" t="str">
        <f>"723"</f>
        <v>723</v>
      </c>
      <c r="P595" t="s">
        <v>2389</v>
      </c>
      <c r="Q595" t="s">
        <v>2390</v>
      </c>
      <c r="R595" t="s">
        <v>31</v>
      </c>
      <c r="S595" t="s">
        <v>28</v>
      </c>
      <c r="T595" t="str">
        <f>"43501200"</f>
        <v>43501200</v>
      </c>
      <c r="U595" t="s">
        <v>2348</v>
      </c>
      <c r="V595" t="s">
        <v>2349</v>
      </c>
    </row>
    <row r="596" spans="1:22" x14ac:dyDescent="0.25">
      <c r="A596" t="str">
        <f t="shared" si="80"/>
        <v>10807</v>
      </c>
      <c r="B596" t="s">
        <v>2391</v>
      </c>
      <c r="C596" t="s">
        <v>2392</v>
      </c>
      <c r="D596" t="s">
        <v>2393</v>
      </c>
      <c r="E596" t="s">
        <v>25</v>
      </c>
      <c r="F596" t="s">
        <v>26</v>
      </c>
      <c r="G596" t="str">
        <f t="shared" si="81"/>
        <v>37</v>
      </c>
      <c r="H596" t="str">
        <f>"11"</f>
        <v>11</v>
      </c>
      <c r="I596" t="s">
        <v>2394</v>
      </c>
      <c r="J596">
        <v>30</v>
      </c>
      <c r="K596">
        <v>30</v>
      </c>
      <c r="L596" t="s">
        <v>28</v>
      </c>
      <c r="M596" t="s">
        <v>2395</v>
      </c>
      <c r="N596">
        <v>1</v>
      </c>
      <c r="O596" t="str">
        <f>"722"</f>
        <v>722</v>
      </c>
      <c r="P596" t="s">
        <v>2396</v>
      </c>
      <c r="Q596" t="s">
        <v>2394</v>
      </c>
      <c r="R596" t="s">
        <v>31</v>
      </c>
      <c r="S596" t="s">
        <v>28</v>
      </c>
      <c r="T596" t="str">
        <f>"20008655"</f>
        <v>20008655</v>
      </c>
      <c r="U596" t="s">
        <v>2397</v>
      </c>
      <c r="V596" t="s">
        <v>2398</v>
      </c>
    </row>
    <row r="597" spans="1:22" x14ac:dyDescent="0.25">
      <c r="A597" t="str">
        <f t="shared" si="80"/>
        <v>10807</v>
      </c>
      <c r="B597" t="s">
        <v>2391</v>
      </c>
      <c r="C597" t="s">
        <v>2392</v>
      </c>
      <c r="D597" t="s">
        <v>2399</v>
      </c>
      <c r="E597" t="s">
        <v>25</v>
      </c>
      <c r="F597" t="s">
        <v>26</v>
      </c>
      <c r="G597" t="str">
        <f t="shared" ref="G597:G628" si="87">"37"</f>
        <v>37</v>
      </c>
      <c r="H597" t="str">
        <f>"10"</f>
        <v>10</v>
      </c>
      <c r="I597" t="s">
        <v>37</v>
      </c>
      <c r="J597">
        <v>290</v>
      </c>
      <c r="K597">
        <v>290</v>
      </c>
      <c r="L597" t="s">
        <v>28</v>
      </c>
      <c r="M597" t="s">
        <v>2400</v>
      </c>
      <c r="N597">
        <v>1</v>
      </c>
      <c r="O597" t="str">
        <f>"723"</f>
        <v>723</v>
      </c>
      <c r="P597" t="s">
        <v>39</v>
      </c>
      <c r="Q597" t="s">
        <v>37</v>
      </c>
      <c r="R597" t="s">
        <v>31</v>
      </c>
      <c r="S597" t="s">
        <v>28</v>
      </c>
      <c r="T597" t="str">
        <f>"39303306"</f>
        <v>39303306</v>
      </c>
      <c r="U597" t="s">
        <v>2401</v>
      </c>
      <c r="V597" t="s">
        <v>2402</v>
      </c>
    </row>
    <row r="598" spans="1:22" x14ac:dyDescent="0.25">
      <c r="A598" t="str">
        <f t="shared" si="80"/>
        <v>10807</v>
      </c>
      <c r="B598" t="s">
        <v>2391</v>
      </c>
      <c r="C598" t="s">
        <v>2392</v>
      </c>
      <c r="D598" t="s">
        <v>2403</v>
      </c>
      <c r="E598" t="s">
        <v>25</v>
      </c>
      <c r="F598" t="s">
        <v>26</v>
      </c>
      <c r="G598" t="str">
        <f t="shared" si="87"/>
        <v>37</v>
      </c>
      <c r="H598" t="str">
        <f>"11"</f>
        <v>11</v>
      </c>
      <c r="I598" t="s">
        <v>37</v>
      </c>
      <c r="J598">
        <v>180</v>
      </c>
      <c r="K598">
        <v>180</v>
      </c>
      <c r="L598" t="s">
        <v>28</v>
      </c>
      <c r="M598" t="s">
        <v>2404</v>
      </c>
      <c r="N598">
        <v>1</v>
      </c>
      <c r="O598" t="str">
        <f>"722"</f>
        <v>722</v>
      </c>
      <c r="P598" t="s">
        <v>39</v>
      </c>
      <c r="Q598" t="s">
        <v>37</v>
      </c>
      <c r="R598" t="s">
        <v>31</v>
      </c>
      <c r="S598" t="s">
        <v>28</v>
      </c>
      <c r="T598" t="str">
        <f>"95931139"</f>
        <v>95931139</v>
      </c>
      <c r="U598" t="s">
        <v>2405</v>
      </c>
      <c r="V598" t="s">
        <v>2406</v>
      </c>
    </row>
    <row r="599" spans="1:22" x14ac:dyDescent="0.25">
      <c r="A599" t="str">
        <f t="shared" si="80"/>
        <v>10807</v>
      </c>
      <c r="B599" t="s">
        <v>2391</v>
      </c>
      <c r="C599" t="s">
        <v>2392</v>
      </c>
      <c r="D599" t="s">
        <v>2407</v>
      </c>
      <c r="E599" t="s">
        <v>25</v>
      </c>
      <c r="F599" t="s">
        <v>26</v>
      </c>
      <c r="G599" t="str">
        <f t="shared" si="87"/>
        <v>37</v>
      </c>
      <c r="H599" t="str">
        <f>"11"</f>
        <v>11</v>
      </c>
      <c r="I599" t="s">
        <v>1228</v>
      </c>
      <c r="J599">
        <v>30</v>
      </c>
      <c r="K599">
        <v>30</v>
      </c>
      <c r="L599" t="s">
        <v>28</v>
      </c>
      <c r="M599" t="s">
        <v>2408</v>
      </c>
      <c r="N599">
        <v>1</v>
      </c>
      <c r="O599" t="str">
        <f>"722"</f>
        <v>722</v>
      </c>
      <c r="P599" t="s">
        <v>1543</v>
      </c>
      <c r="Q599" t="s">
        <v>1228</v>
      </c>
      <c r="R599" t="s">
        <v>31</v>
      </c>
      <c r="S599" t="s">
        <v>28</v>
      </c>
      <c r="T599" t="str">
        <f>"50725057"</f>
        <v>50725057</v>
      </c>
      <c r="U599" t="s">
        <v>2409</v>
      </c>
      <c r="V599" t="s">
        <v>2410</v>
      </c>
    </row>
    <row r="600" spans="1:22" x14ac:dyDescent="0.25">
      <c r="A600" t="str">
        <f t="shared" si="80"/>
        <v>10807</v>
      </c>
      <c r="B600" t="s">
        <v>2391</v>
      </c>
      <c r="C600" t="s">
        <v>2392</v>
      </c>
      <c r="D600" t="s">
        <v>2411</v>
      </c>
      <c r="E600" t="s">
        <v>25</v>
      </c>
      <c r="F600" t="s">
        <v>26</v>
      </c>
      <c r="G600" t="str">
        <f t="shared" si="87"/>
        <v>37</v>
      </c>
      <c r="H600" t="str">
        <f>"11"</f>
        <v>11</v>
      </c>
      <c r="I600" t="s">
        <v>37</v>
      </c>
      <c r="J600">
        <v>200</v>
      </c>
      <c r="K600">
        <v>200</v>
      </c>
      <c r="L600" t="s">
        <v>28</v>
      </c>
      <c r="M600" t="s">
        <v>2412</v>
      </c>
      <c r="N600">
        <v>1</v>
      </c>
      <c r="O600" t="str">
        <f>"722"</f>
        <v>722</v>
      </c>
      <c r="P600" t="s">
        <v>39</v>
      </c>
      <c r="Q600" t="s">
        <v>37</v>
      </c>
      <c r="R600" t="s">
        <v>31</v>
      </c>
      <c r="S600" t="s">
        <v>28</v>
      </c>
      <c r="T600" t="str">
        <f>"39196306"</f>
        <v>39196306</v>
      </c>
      <c r="U600" t="s">
        <v>2413</v>
      </c>
      <c r="V600" t="s">
        <v>2414</v>
      </c>
    </row>
    <row r="601" spans="1:22" x14ac:dyDescent="0.25">
      <c r="A601" t="str">
        <f t="shared" si="80"/>
        <v>10807</v>
      </c>
      <c r="B601" t="s">
        <v>2391</v>
      </c>
      <c r="C601" t="s">
        <v>2392</v>
      </c>
      <c r="D601" t="s">
        <v>2415</v>
      </c>
      <c r="E601" t="s">
        <v>25</v>
      </c>
      <c r="F601" t="s">
        <v>26</v>
      </c>
      <c r="G601" t="str">
        <f t="shared" si="87"/>
        <v>37</v>
      </c>
      <c r="H601" t="str">
        <f>"11"</f>
        <v>11</v>
      </c>
      <c r="I601" t="s">
        <v>2416</v>
      </c>
      <c r="J601">
        <v>30</v>
      </c>
      <c r="K601">
        <v>30</v>
      </c>
      <c r="L601" t="s">
        <v>28</v>
      </c>
      <c r="M601" t="s">
        <v>2417</v>
      </c>
      <c r="N601">
        <v>1</v>
      </c>
      <c r="O601" t="str">
        <f>"722"</f>
        <v>722</v>
      </c>
      <c r="P601" s="2">
        <v>8000000</v>
      </c>
      <c r="Q601" t="s">
        <v>2416</v>
      </c>
      <c r="R601" t="s">
        <v>31</v>
      </c>
      <c r="S601" t="s">
        <v>28</v>
      </c>
      <c r="T601" t="str">
        <f>"30373982"</f>
        <v>30373982</v>
      </c>
      <c r="U601" t="s">
        <v>2418</v>
      </c>
      <c r="V601" t="s">
        <v>2419</v>
      </c>
    </row>
    <row r="602" spans="1:22" x14ac:dyDescent="0.25">
      <c r="A602" t="str">
        <f t="shared" si="80"/>
        <v>10807</v>
      </c>
      <c r="B602" t="s">
        <v>2391</v>
      </c>
      <c r="C602" t="s">
        <v>2392</v>
      </c>
      <c r="D602" t="s">
        <v>2420</v>
      </c>
      <c r="E602" t="s">
        <v>25</v>
      </c>
      <c r="F602" t="s">
        <v>26</v>
      </c>
      <c r="G602" t="str">
        <f t="shared" si="87"/>
        <v>37</v>
      </c>
      <c r="H602" t="str">
        <f>"31"</f>
        <v>31</v>
      </c>
      <c r="I602" t="s">
        <v>1027</v>
      </c>
      <c r="J602">
        <v>5</v>
      </c>
      <c r="K602">
        <v>5</v>
      </c>
      <c r="L602" t="s">
        <v>28</v>
      </c>
      <c r="M602" t="s">
        <v>2421</v>
      </c>
      <c r="N602">
        <v>1</v>
      </c>
      <c r="O602" t="str">
        <f>"721"</f>
        <v>721</v>
      </c>
      <c r="P602" t="s">
        <v>1029</v>
      </c>
      <c r="Q602" t="s">
        <v>1027</v>
      </c>
      <c r="R602" t="s">
        <v>31</v>
      </c>
      <c r="S602" t="s">
        <v>28</v>
      </c>
      <c r="U602" t="s">
        <v>1274</v>
      </c>
      <c r="V602" t="s">
        <v>1097</v>
      </c>
    </row>
    <row r="603" spans="1:22" x14ac:dyDescent="0.25">
      <c r="A603" t="str">
        <f t="shared" si="80"/>
        <v>10807</v>
      </c>
      <c r="B603" t="s">
        <v>2391</v>
      </c>
      <c r="C603" t="s">
        <v>2392</v>
      </c>
      <c r="D603" t="s">
        <v>2422</v>
      </c>
      <c r="E603" t="s">
        <v>25</v>
      </c>
      <c r="F603" t="s">
        <v>26</v>
      </c>
      <c r="G603" t="str">
        <f t="shared" si="87"/>
        <v>37</v>
      </c>
      <c r="H603" t="str">
        <f>"31"</f>
        <v>31</v>
      </c>
      <c r="I603" t="s">
        <v>1027</v>
      </c>
      <c r="J603">
        <v>5</v>
      </c>
      <c r="K603">
        <v>5</v>
      </c>
      <c r="L603" t="s">
        <v>28</v>
      </c>
      <c r="M603" t="s">
        <v>2423</v>
      </c>
      <c r="N603">
        <v>1</v>
      </c>
      <c r="O603" t="str">
        <f>"721"</f>
        <v>721</v>
      </c>
      <c r="P603" t="s">
        <v>1029</v>
      </c>
      <c r="Q603" t="s">
        <v>1027</v>
      </c>
      <c r="R603" t="s">
        <v>31</v>
      </c>
      <c r="S603" t="s">
        <v>28</v>
      </c>
      <c r="U603" t="s">
        <v>1274</v>
      </c>
      <c r="V603" t="s">
        <v>1097</v>
      </c>
    </row>
    <row r="604" spans="1:22" x14ac:dyDescent="0.25">
      <c r="A604" t="str">
        <f t="shared" si="80"/>
        <v>10807</v>
      </c>
      <c r="B604" t="s">
        <v>2391</v>
      </c>
      <c r="C604" t="s">
        <v>2392</v>
      </c>
      <c r="D604" t="s">
        <v>2424</v>
      </c>
      <c r="E604" t="s">
        <v>25</v>
      </c>
      <c r="F604" t="s">
        <v>26</v>
      </c>
      <c r="G604" t="str">
        <f t="shared" si="87"/>
        <v>37</v>
      </c>
      <c r="H604" t="str">
        <f>"11"</f>
        <v>11</v>
      </c>
      <c r="I604" t="s">
        <v>2394</v>
      </c>
      <c r="J604">
        <v>30</v>
      </c>
      <c r="K604">
        <v>30</v>
      </c>
      <c r="L604" t="s">
        <v>28</v>
      </c>
      <c r="M604" t="s">
        <v>2425</v>
      </c>
      <c r="N604">
        <v>1</v>
      </c>
      <c r="O604" t="str">
        <f>"722"</f>
        <v>722</v>
      </c>
      <c r="P604" t="s">
        <v>2396</v>
      </c>
      <c r="Q604" t="s">
        <v>2394</v>
      </c>
      <c r="R604" t="s">
        <v>31</v>
      </c>
      <c r="S604" t="s">
        <v>28</v>
      </c>
      <c r="T604" t="str">
        <f>"17421933"</f>
        <v>17421933</v>
      </c>
      <c r="U604" t="s">
        <v>2426</v>
      </c>
      <c r="V604" t="s">
        <v>2427</v>
      </c>
    </row>
    <row r="605" spans="1:22" x14ac:dyDescent="0.25">
      <c r="A605" t="str">
        <f t="shared" si="80"/>
        <v>10807</v>
      </c>
      <c r="B605" t="s">
        <v>2391</v>
      </c>
      <c r="C605" t="s">
        <v>2392</v>
      </c>
      <c r="D605" t="s">
        <v>2428</v>
      </c>
      <c r="E605" t="s">
        <v>25</v>
      </c>
      <c r="F605" t="s">
        <v>26</v>
      </c>
      <c r="G605" t="str">
        <f t="shared" si="87"/>
        <v>37</v>
      </c>
      <c r="H605" t="str">
        <f>"11"</f>
        <v>11</v>
      </c>
      <c r="I605" t="s">
        <v>27</v>
      </c>
      <c r="J605">
        <v>90</v>
      </c>
      <c r="K605">
        <v>90</v>
      </c>
      <c r="L605" t="s">
        <v>28</v>
      </c>
      <c r="M605" t="s">
        <v>2429</v>
      </c>
      <c r="N605">
        <v>1</v>
      </c>
      <c r="O605" t="str">
        <f>"722"</f>
        <v>722</v>
      </c>
      <c r="P605" t="s">
        <v>30</v>
      </c>
      <c r="Q605" t="s">
        <v>27</v>
      </c>
      <c r="R605" t="s">
        <v>31</v>
      </c>
      <c r="S605" t="s">
        <v>28</v>
      </c>
      <c r="T605" t="str">
        <f>"72795696"</f>
        <v>72795696</v>
      </c>
      <c r="U605" t="s">
        <v>2430</v>
      </c>
      <c r="V605" t="s">
        <v>2431</v>
      </c>
    </row>
    <row r="606" spans="1:22" x14ac:dyDescent="0.25">
      <c r="A606" t="str">
        <f t="shared" si="80"/>
        <v>10807</v>
      </c>
      <c r="B606" t="s">
        <v>2391</v>
      </c>
      <c r="C606" t="s">
        <v>2392</v>
      </c>
      <c r="D606" t="s">
        <v>2432</v>
      </c>
      <c r="E606" t="s">
        <v>25</v>
      </c>
      <c r="F606" t="s">
        <v>26</v>
      </c>
      <c r="G606" t="str">
        <f t="shared" si="87"/>
        <v>37</v>
      </c>
      <c r="H606" t="str">
        <f>"31"</f>
        <v>31</v>
      </c>
      <c r="I606" t="s">
        <v>1027</v>
      </c>
      <c r="J606">
        <v>5</v>
      </c>
      <c r="K606">
        <v>5</v>
      </c>
      <c r="L606" t="s">
        <v>28</v>
      </c>
      <c r="M606" t="s">
        <v>2433</v>
      </c>
      <c r="N606">
        <v>1</v>
      </c>
      <c r="O606" t="str">
        <f>"721"</f>
        <v>721</v>
      </c>
      <c r="P606" t="s">
        <v>1029</v>
      </c>
      <c r="Q606" t="s">
        <v>1027</v>
      </c>
      <c r="R606" t="s">
        <v>31</v>
      </c>
      <c r="S606" t="s">
        <v>28</v>
      </c>
      <c r="U606" t="s">
        <v>1274</v>
      </c>
      <c r="V606" t="s">
        <v>1097</v>
      </c>
    </row>
    <row r="607" spans="1:22" x14ac:dyDescent="0.25">
      <c r="A607" t="str">
        <f t="shared" si="80"/>
        <v>10807</v>
      </c>
      <c r="B607" t="s">
        <v>2391</v>
      </c>
      <c r="C607" t="s">
        <v>2392</v>
      </c>
      <c r="D607" t="s">
        <v>2434</v>
      </c>
      <c r="E607" t="s">
        <v>25</v>
      </c>
      <c r="F607" t="s">
        <v>26</v>
      </c>
      <c r="G607" t="str">
        <f t="shared" si="87"/>
        <v>37</v>
      </c>
      <c r="H607" t="str">
        <f>"31"</f>
        <v>31</v>
      </c>
      <c r="I607" t="s">
        <v>1027</v>
      </c>
      <c r="J607">
        <v>5</v>
      </c>
      <c r="K607">
        <v>5</v>
      </c>
      <c r="L607" t="s">
        <v>28</v>
      </c>
      <c r="M607" t="s">
        <v>2435</v>
      </c>
      <c r="N607">
        <v>1</v>
      </c>
      <c r="O607" t="str">
        <f>"721"</f>
        <v>721</v>
      </c>
      <c r="P607" t="s">
        <v>1029</v>
      </c>
      <c r="Q607" t="s">
        <v>1027</v>
      </c>
      <c r="R607" t="s">
        <v>31</v>
      </c>
      <c r="S607" t="s">
        <v>28</v>
      </c>
      <c r="U607" t="s">
        <v>1274</v>
      </c>
      <c r="V607" t="s">
        <v>1097</v>
      </c>
    </row>
    <row r="608" spans="1:22" x14ac:dyDescent="0.25">
      <c r="A608" t="str">
        <f t="shared" si="80"/>
        <v>10807</v>
      </c>
      <c r="B608" t="s">
        <v>2391</v>
      </c>
      <c r="C608" t="s">
        <v>2392</v>
      </c>
      <c r="D608" t="s">
        <v>2436</v>
      </c>
      <c r="E608" t="s">
        <v>25</v>
      </c>
      <c r="F608" t="s">
        <v>26</v>
      </c>
      <c r="G608" t="str">
        <f t="shared" si="87"/>
        <v>37</v>
      </c>
      <c r="H608" t="str">
        <f>"31"</f>
        <v>31</v>
      </c>
      <c r="I608" t="s">
        <v>1027</v>
      </c>
      <c r="J608">
        <v>5</v>
      </c>
      <c r="K608">
        <v>5</v>
      </c>
      <c r="L608" t="s">
        <v>28</v>
      </c>
      <c r="M608" t="s">
        <v>2437</v>
      </c>
      <c r="N608">
        <v>1</v>
      </c>
      <c r="O608" t="str">
        <f>"721"</f>
        <v>721</v>
      </c>
      <c r="P608" t="s">
        <v>1029</v>
      </c>
      <c r="Q608" t="s">
        <v>1027</v>
      </c>
      <c r="R608" t="s">
        <v>31</v>
      </c>
      <c r="S608" t="s">
        <v>28</v>
      </c>
      <c r="U608" t="s">
        <v>1274</v>
      </c>
      <c r="V608" t="s">
        <v>1097</v>
      </c>
    </row>
    <row r="609" spans="1:22" x14ac:dyDescent="0.25">
      <c r="A609" t="str">
        <f t="shared" si="80"/>
        <v>10807</v>
      </c>
      <c r="B609" t="s">
        <v>2438</v>
      </c>
      <c r="C609" t="s">
        <v>2439</v>
      </c>
      <c r="D609" t="s">
        <v>2440</v>
      </c>
      <c r="E609" t="s">
        <v>25</v>
      </c>
      <c r="F609" t="s">
        <v>26</v>
      </c>
      <c r="G609" t="str">
        <f t="shared" si="87"/>
        <v>37</v>
      </c>
      <c r="H609" t="str">
        <f>"12"</f>
        <v>12</v>
      </c>
      <c r="I609" t="s">
        <v>1331</v>
      </c>
      <c r="J609">
        <v>89.6</v>
      </c>
      <c r="K609">
        <v>0</v>
      </c>
      <c r="L609" t="s">
        <v>28</v>
      </c>
      <c r="M609" t="s">
        <v>2441</v>
      </c>
      <c r="N609">
        <v>1</v>
      </c>
      <c r="O609" t="str">
        <f>"723"</f>
        <v>723</v>
      </c>
      <c r="P609" t="s">
        <v>2442</v>
      </c>
      <c r="Q609" t="s">
        <v>1331</v>
      </c>
      <c r="R609" t="s">
        <v>31</v>
      </c>
      <c r="S609" t="s">
        <v>28</v>
      </c>
      <c r="T609" t="str">
        <f>"08261920"</f>
        <v>08261920</v>
      </c>
      <c r="U609" t="s">
        <v>2443</v>
      </c>
      <c r="V609" t="s">
        <v>2444</v>
      </c>
    </row>
    <row r="610" spans="1:22" x14ac:dyDescent="0.25">
      <c r="A610" t="str">
        <f t="shared" si="80"/>
        <v>10807</v>
      </c>
      <c r="B610" t="s">
        <v>2438</v>
      </c>
      <c r="C610" t="s">
        <v>2439</v>
      </c>
      <c r="D610" t="s">
        <v>2445</v>
      </c>
      <c r="E610" t="s">
        <v>25</v>
      </c>
      <c r="F610" t="s">
        <v>26</v>
      </c>
      <c r="G610" t="str">
        <f t="shared" si="87"/>
        <v>37</v>
      </c>
      <c r="H610" t="str">
        <f>"12"</f>
        <v>12</v>
      </c>
      <c r="I610" t="s">
        <v>1331</v>
      </c>
      <c r="J610">
        <v>80</v>
      </c>
      <c r="K610">
        <v>0</v>
      </c>
      <c r="L610" t="s">
        <v>28</v>
      </c>
      <c r="M610" t="s">
        <v>2446</v>
      </c>
      <c r="N610">
        <v>1</v>
      </c>
      <c r="O610" t="str">
        <f>"723"</f>
        <v>723</v>
      </c>
      <c r="P610" t="s">
        <v>2442</v>
      </c>
      <c r="Q610" t="s">
        <v>1331</v>
      </c>
      <c r="R610" t="s">
        <v>31</v>
      </c>
      <c r="S610" t="s">
        <v>28</v>
      </c>
      <c r="T610" t="str">
        <f>"08261920"</f>
        <v>08261920</v>
      </c>
      <c r="U610" t="s">
        <v>2443</v>
      </c>
      <c r="V610" t="s">
        <v>2444</v>
      </c>
    </row>
    <row r="611" spans="1:22" x14ac:dyDescent="0.25">
      <c r="A611" t="str">
        <f t="shared" si="80"/>
        <v>10807</v>
      </c>
      <c r="B611" t="s">
        <v>2438</v>
      </c>
      <c r="C611" t="s">
        <v>2439</v>
      </c>
      <c r="D611" t="s">
        <v>2447</v>
      </c>
      <c r="E611" t="s">
        <v>25</v>
      </c>
      <c r="F611" t="s">
        <v>26</v>
      </c>
      <c r="G611" t="str">
        <f t="shared" si="87"/>
        <v>37</v>
      </c>
      <c r="H611" t="str">
        <f>"12"</f>
        <v>12</v>
      </c>
      <c r="I611" t="s">
        <v>1331</v>
      </c>
      <c r="J611">
        <v>80</v>
      </c>
      <c r="K611">
        <v>0</v>
      </c>
      <c r="L611" t="s">
        <v>28</v>
      </c>
      <c r="M611" t="s">
        <v>2448</v>
      </c>
      <c r="N611">
        <v>1</v>
      </c>
      <c r="O611" t="str">
        <f>"723"</f>
        <v>723</v>
      </c>
      <c r="P611" t="s">
        <v>2442</v>
      </c>
      <c r="Q611" t="s">
        <v>1331</v>
      </c>
      <c r="R611" t="s">
        <v>31</v>
      </c>
      <c r="S611" t="s">
        <v>28</v>
      </c>
      <c r="T611" t="str">
        <f>"08261920"</f>
        <v>08261920</v>
      </c>
      <c r="U611" t="s">
        <v>2443</v>
      </c>
      <c r="V611" t="s">
        <v>2444</v>
      </c>
    </row>
    <row r="612" spans="1:22" x14ac:dyDescent="0.25">
      <c r="A612" t="str">
        <f t="shared" si="80"/>
        <v>10807</v>
      </c>
      <c r="B612" t="s">
        <v>2438</v>
      </c>
      <c r="C612" t="s">
        <v>2439</v>
      </c>
      <c r="D612" t="s">
        <v>2449</v>
      </c>
      <c r="E612" t="s">
        <v>25</v>
      </c>
      <c r="F612" t="s">
        <v>26</v>
      </c>
      <c r="G612" t="str">
        <f t="shared" si="87"/>
        <v>37</v>
      </c>
      <c r="H612" t="str">
        <f>"11"</f>
        <v>11</v>
      </c>
      <c r="I612" t="s">
        <v>1331</v>
      </c>
      <c r="J612">
        <v>100</v>
      </c>
      <c r="K612">
        <v>0</v>
      </c>
      <c r="L612" t="s">
        <v>28</v>
      </c>
      <c r="M612" t="s">
        <v>2450</v>
      </c>
      <c r="N612">
        <v>1</v>
      </c>
      <c r="O612" t="str">
        <f>"722"</f>
        <v>722</v>
      </c>
      <c r="P612" t="s">
        <v>2451</v>
      </c>
      <c r="Q612" t="s">
        <v>1331</v>
      </c>
      <c r="R612" t="s">
        <v>31</v>
      </c>
      <c r="S612" t="s">
        <v>28</v>
      </c>
      <c r="T612" t="str">
        <f>"82697765"</f>
        <v>82697765</v>
      </c>
      <c r="U612" t="s">
        <v>2452</v>
      </c>
      <c r="V612" t="s">
        <v>2453</v>
      </c>
    </row>
    <row r="613" spans="1:22" x14ac:dyDescent="0.25">
      <c r="A613" t="str">
        <f t="shared" si="80"/>
        <v>10807</v>
      </c>
      <c r="B613" t="s">
        <v>2438</v>
      </c>
      <c r="C613" t="s">
        <v>2439</v>
      </c>
      <c r="D613" t="s">
        <v>2454</v>
      </c>
      <c r="E613" t="s">
        <v>25</v>
      </c>
      <c r="F613" t="s">
        <v>26</v>
      </c>
      <c r="G613" t="str">
        <f t="shared" si="87"/>
        <v>37</v>
      </c>
      <c r="H613" t="str">
        <f>"11"</f>
        <v>11</v>
      </c>
      <c r="I613" t="s">
        <v>1331</v>
      </c>
      <c r="J613">
        <v>50</v>
      </c>
      <c r="K613">
        <v>0</v>
      </c>
      <c r="L613" t="s">
        <v>28</v>
      </c>
      <c r="M613" t="s">
        <v>2455</v>
      </c>
      <c r="N613">
        <v>1</v>
      </c>
      <c r="O613" t="str">
        <f>"722"</f>
        <v>722</v>
      </c>
      <c r="P613" t="s">
        <v>2456</v>
      </c>
      <c r="Q613" t="s">
        <v>1331</v>
      </c>
      <c r="R613" t="s">
        <v>31</v>
      </c>
      <c r="S613" t="s">
        <v>28</v>
      </c>
      <c r="T613" t="str">
        <f>"36956838"</f>
        <v>36956838</v>
      </c>
      <c r="U613" t="s">
        <v>2457</v>
      </c>
      <c r="V613" t="s">
        <v>2458</v>
      </c>
    </row>
    <row r="614" spans="1:22" x14ac:dyDescent="0.25">
      <c r="A614" t="str">
        <f t="shared" si="80"/>
        <v>10807</v>
      </c>
      <c r="B614" t="s">
        <v>2438</v>
      </c>
      <c r="C614" t="s">
        <v>2439</v>
      </c>
      <c r="D614" t="s">
        <v>2459</v>
      </c>
      <c r="E614" t="s">
        <v>25</v>
      </c>
      <c r="F614" t="s">
        <v>26</v>
      </c>
      <c r="G614" t="str">
        <f t="shared" si="87"/>
        <v>37</v>
      </c>
      <c r="H614" t="str">
        <f>"12"</f>
        <v>12</v>
      </c>
      <c r="I614" t="s">
        <v>835</v>
      </c>
      <c r="J614">
        <v>122.93899999999999</v>
      </c>
      <c r="K614">
        <v>0</v>
      </c>
      <c r="L614" t="s">
        <v>28</v>
      </c>
      <c r="M614" t="s">
        <v>3659</v>
      </c>
      <c r="N614">
        <v>1</v>
      </c>
      <c r="O614" t="str">
        <f>"723"</f>
        <v>723</v>
      </c>
      <c r="P614" t="s">
        <v>2460</v>
      </c>
      <c r="Q614" t="s">
        <v>835</v>
      </c>
      <c r="R614" t="s">
        <v>31</v>
      </c>
      <c r="S614" t="s">
        <v>28</v>
      </c>
      <c r="T614" t="str">
        <f>"85504805"</f>
        <v>85504805</v>
      </c>
      <c r="U614" t="s">
        <v>2461</v>
      </c>
      <c r="V614" t="s">
        <v>2462</v>
      </c>
    </row>
    <row r="615" spans="1:22" x14ac:dyDescent="0.25">
      <c r="A615" t="str">
        <f t="shared" si="80"/>
        <v>10807</v>
      </c>
      <c r="B615" t="s">
        <v>2438</v>
      </c>
      <c r="C615" t="s">
        <v>2439</v>
      </c>
      <c r="D615" t="s">
        <v>2463</v>
      </c>
      <c r="E615" t="s">
        <v>25</v>
      </c>
      <c r="F615" t="s">
        <v>26</v>
      </c>
      <c r="G615" t="str">
        <f t="shared" si="87"/>
        <v>37</v>
      </c>
      <c r="H615" t="str">
        <f>"11"</f>
        <v>11</v>
      </c>
      <c r="I615" t="s">
        <v>1331</v>
      </c>
      <c r="J615">
        <v>50</v>
      </c>
      <c r="K615">
        <v>0</v>
      </c>
      <c r="L615" t="s">
        <v>28</v>
      </c>
      <c r="M615" t="s">
        <v>2464</v>
      </c>
      <c r="N615">
        <v>1</v>
      </c>
      <c r="O615" t="str">
        <f>"722"</f>
        <v>722</v>
      </c>
      <c r="P615" t="s">
        <v>2465</v>
      </c>
      <c r="Q615" t="s">
        <v>1331</v>
      </c>
      <c r="R615" t="s">
        <v>31</v>
      </c>
      <c r="S615" t="s">
        <v>28</v>
      </c>
      <c r="T615" t="str">
        <f>"17029375"</f>
        <v>17029375</v>
      </c>
      <c r="U615" t="s">
        <v>2466</v>
      </c>
      <c r="V615" t="s">
        <v>2467</v>
      </c>
    </row>
    <row r="616" spans="1:22" x14ac:dyDescent="0.25">
      <c r="A616" t="str">
        <f t="shared" si="80"/>
        <v>10807</v>
      </c>
      <c r="B616" t="s">
        <v>2438</v>
      </c>
      <c r="C616" t="s">
        <v>2439</v>
      </c>
      <c r="D616" t="s">
        <v>2468</v>
      </c>
      <c r="E616" t="s">
        <v>25</v>
      </c>
      <c r="F616" t="s">
        <v>26</v>
      </c>
      <c r="G616" t="str">
        <f t="shared" si="87"/>
        <v>37</v>
      </c>
      <c r="H616" t="str">
        <f>"41"</f>
        <v>41</v>
      </c>
      <c r="I616" t="s">
        <v>1027</v>
      </c>
      <c r="J616">
        <v>3</v>
      </c>
      <c r="K616">
        <v>0</v>
      </c>
      <c r="L616" t="s">
        <v>28</v>
      </c>
      <c r="M616" t="s">
        <v>2469</v>
      </c>
      <c r="N616">
        <v>1</v>
      </c>
      <c r="O616" t="str">
        <f>"721"</f>
        <v>721</v>
      </c>
      <c r="P616" t="s">
        <v>2470</v>
      </c>
      <c r="Q616" t="s">
        <v>1027</v>
      </c>
      <c r="R616" t="s">
        <v>31</v>
      </c>
      <c r="S616" t="s">
        <v>28</v>
      </c>
      <c r="U616" t="s">
        <v>1274</v>
      </c>
      <c r="V616" t="s">
        <v>1097</v>
      </c>
    </row>
    <row r="617" spans="1:22" x14ac:dyDescent="0.25">
      <c r="A617" t="str">
        <f t="shared" si="80"/>
        <v>10807</v>
      </c>
      <c r="B617" t="s">
        <v>2438</v>
      </c>
      <c r="C617" t="s">
        <v>2439</v>
      </c>
      <c r="D617" t="s">
        <v>2468</v>
      </c>
      <c r="E617" t="s">
        <v>25</v>
      </c>
      <c r="F617" t="s">
        <v>26</v>
      </c>
      <c r="G617" t="str">
        <f t="shared" si="87"/>
        <v>37</v>
      </c>
      <c r="H617" t="str">
        <f>"41"</f>
        <v>41</v>
      </c>
      <c r="I617" t="s">
        <v>1027</v>
      </c>
      <c r="J617">
        <v>3</v>
      </c>
      <c r="K617">
        <v>0</v>
      </c>
      <c r="L617" t="s">
        <v>28</v>
      </c>
      <c r="M617" t="s">
        <v>2471</v>
      </c>
      <c r="N617">
        <v>1</v>
      </c>
      <c r="O617" t="str">
        <f>"721"</f>
        <v>721</v>
      </c>
      <c r="P617" t="s">
        <v>2470</v>
      </c>
      <c r="Q617" t="s">
        <v>1027</v>
      </c>
      <c r="R617" t="s">
        <v>31</v>
      </c>
      <c r="S617" t="s">
        <v>28</v>
      </c>
      <c r="U617" t="s">
        <v>1274</v>
      </c>
      <c r="V617" t="s">
        <v>1097</v>
      </c>
    </row>
    <row r="618" spans="1:22" x14ac:dyDescent="0.25">
      <c r="A618" t="str">
        <f t="shared" si="80"/>
        <v>10807</v>
      </c>
      <c r="B618" t="s">
        <v>2438</v>
      </c>
      <c r="C618" t="s">
        <v>2439</v>
      </c>
      <c r="D618" t="s">
        <v>2472</v>
      </c>
      <c r="E618" t="s">
        <v>25</v>
      </c>
      <c r="F618" t="s">
        <v>26</v>
      </c>
      <c r="G618" t="str">
        <f t="shared" si="87"/>
        <v>37</v>
      </c>
      <c r="H618" t="str">
        <f>"11"</f>
        <v>11</v>
      </c>
      <c r="I618" t="s">
        <v>1331</v>
      </c>
      <c r="J618">
        <v>50</v>
      </c>
      <c r="K618">
        <v>0</v>
      </c>
      <c r="L618" t="s">
        <v>28</v>
      </c>
      <c r="M618" t="s">
        <v>2473</v>
      </c>
      <c r="N618">
        <v>1</v>
      </c>
      <c r="O618" t="str">
        <f>"722"</f>
        <v>722</v>
      </c>
      <c r="P618" t="s">
        <v>2474</v>
      </c>
      <c r="Q618" t="s">
        <v>1331</v>
      </c>
      <c r="R618" t="s">
        <v>31</v>
      </c>
      <c r="S618" t="s">
        <v>28</v>
      </c>
      <c r="T618" t="str">
        <f>"85176205"</f>
        <v>85176205</v>
      </c>
      <c r="U618" t="s">
        <v>2475</v>
      </c>
      <c r="V618" t="s">
        <v>2476</v>
      </c>
    </row>
    <row r="619" spans="1:22" x14ac:dyDescent="0.25">
      <c r="A619" t="str">
        <f t="shared" si="80"/>
        <v>10807</v>
      </c>
      <c r="B619" t="s">
        <v>2438</v>
      </c>
      <c r="C619" t="s">
        <v>2439</v>
      </c>
      <c r="D619" t="s">
        <v>2477</v>
      </c>
      <c r="E619" t="s">
        <v>25</v>
      </c>
      <c r="F619" t="s">
        <v>26</v>
      </c>
      <c r="G619" t="str">
        <f t="shared" si="87"/>
        <v>37</v>
      </c>
      <c r="H619" t="str">
        <f>"11"</f>
        <v>11</v>
      </c>
      <c r="I619" t="s">
        <v>1331</v>
      </c>
      <c r="J619">
        <v>70</v>
      </c>
      <c r="K619">
        <v>0</v>
      </c>
      <c r="L619" t="s">
        <v>28</v>
      </c>
      <c r="M619" t="s">
        <v>2478</v>
      </c>
      <c r="N619">
        <v>1</v>
      </c>
      <c r="O619" t="str">
        <f>"722"</f>
        <v>722</v>
      </c>
      <c r="P619" t="s">
        <v>2479</v>
      </c>
      <c r="Q619" t="s">
        <v>1331</v>
      </c>
      <c r="R619" t="s">
        <v>31</v>
      </c>
      <c r="S619" t="s">
        <v>28</v>
      </c>
      <c r="T619" t="str">
        <f>"17034503"</f>
        <v>17034503</v>
      </c>
      <c r="U619" t="s">
        <v>2480</v>
      </c>
      <c r="V619" t="s">
        <v>2481</v>
      </c>
    </row>
    <row r="620" spans="1:22" x14ac:dyDescent="0.25">
      <c r="A620" t="str">
        <f t="shared" si="80"/>
        <v>10807</v>
      </c>
      <c r="B620" t="s">
        <v>2438</v>
      </c>
      <c r="C620" t="s">
        <v>2439</v>
      </c>
      <c r="D620" t="s">
        <v>2482</v>
      </c>
      <c r="E620" t="s">
        <v>25</v>
      </c>
      <c r="F620" t="s">
        <v>26</v>
      </c>
      <c r="G620" t="str">
        <f t="shared" si="87"/>
        <v>37</v>
      </c>
      <c r="H620" t="str">
        <f>"11"</f>
        <v>11</v>
      </c>
      <c r="I620" t="s">
        <v>1331</v>
      </c>
      <c r="J620">
        <v>80</v>
      </c>
      <c r="K620">
        <v>0</v>
      </c>
      <c r="L620" t="s">
        <v>28</v>
      </c>
      <c r="M620" t="s">
        <v>2483</v>
      </c>
      <c r="N620">
        <v>1</v>
      </c>
      <c r="O620" t="str">
        <f>"722"</f>
        <v>722</v>
      </c>
      <c r="P620" t="s">
        <v>2484</v>
      </c>
      <c r="Q620" t="s">
        <v>1331</v>
      </c>
      <c r="R620" t="s">
        <v>31</v>
      </c>
      <c r="S620" t="s">
        <v>28</v>
      </c>
      <c r="T620" t="str">
        <f>"47639310"</f>
        <v>47639310</v>
      </c>
      <c r="U620" t="s">
        <v>2485</v>
      </c>
      <c r="V620" t="s">
        <v>2486</v>
      </c>
    </row>
    <row r="621" spans="1:22" x14ac:dyDescent="0.25">
      <c r="A621" t="str">
        <f t="shared" si="80"/>
        <v>10807</v>
      </c>
      <c r="B621" t="s">
        <v>2438</v>
      </c>
      <c r="C621" t="s">
        <v>2439</v>
      </c>
      <c r="D621" t="s">
        <v>2487</v>
      </c>
      <c r="E621" t="s">
        <v>25</v>
      </c>
      <c r="F621" t="s">
        <v>26</v>
      </c>
      <c r="G621" t="str">
        <f t="shared" si="87"/>
        <v>37</v>
      </c>
      <c r="H621" t="str">
        <f>"12"</f>
        <v>12</v>
      </c>
      <c r="I621" t="s">
        <v>1331</v>
      </c>
      <c r="J621">
        <v>252.27199999999999</v>
      </c>
      <c r="K621">
        <v>0</v>
      </c>
      <c r="L621" t="s">
        <v>28</v>
      </c>
      <c r="M621" t="s">
        <v>2488</v>
      </c>
      <c r="N621">
        <v>1</v>
      </c>
      <c r="O621" t="str">
        <f>"723"</f>
        <v>723</v>
      </c>
      <c r="P621" t="s">
        <v>2489</v>
      </c>
      <c r="Q621" t="s">
        <v>1331</v>
      </c>
      <c r="R621" t="s">
        <v>31</v>
      </c>
      <c r="S621" t="s">
        <v>28</v>
      </c>
      <c r="T621" t="str">
        <f>"85504805"</f>
        <v>85504805</v>
      </c>
      <c r="U621" t="s">
        <v>2461</v>
      </c>
      <c r="V621" t="s">
        <v>2462</v>
      </c>
    </row>
    <row r="622" spans="1:22" x14ac:dyDescent="0.25">
      <c r="A622" t="str">
        <f t="shared" si="80"/>
        <v>10807</v>
      </c>
      <c r="B622" t="s">
        <v>2438</v>
      </c>
      <c r="C622" t="s">
        <v>2439</v>
      </c>
      <c r="D622" t="s">
        <v>2490</v>
      </c>
      <c r="E622" t="s">
        <v>25</v>
      </c>
      <c r="F622" t="s">
        <v>26</v>
      </c>
      <c r="G622" t="str">
        <f t="shared" si="87"/>
        <v>37</v>
      </c>
      <c r="H622" t="str">
        <f>"12"</f>
        <v>12</v>
      </c>
      <c r="I622" t="s">
        <v>1331</v>
      </c>
      <c r="J622">
        <v>201.916</v>
      </c>
      <c r="K622">
        <v>0</v>
      </c>
      <c r="L622" t="s">
        <v>28</v>
      </c>
      <c r="M622" t="s">
        <v>2491</v>
      </c>
      <c r="N622">
        <v>1</v>
      </c>
      <c r="O622" t="str">
        <f>"723"</f>
        <v>723</v>
      </c>
      <c r="P622" t="s">
        <v>2489</v>
      </c>
      <c r="Q622" t="s">
        <v>1331</v>
      </c>
      <c r="R622" t="s">
        <v>31</v>
      </c>
      <c r="S622" t="s">
        <v>28</v>
      </c>
      <c r="T622" t="str">
        <f>"85504805"</f>
        <v>85504805</v>
      </c>
      <c r="U622" t="s">
        <v>2461</v>
      </c>
      <c r="V622" t="s">
        <v>2462</v>
      </c>
    </row>
    <row r="623" spans="1:22" x14ac:dyDescent="0.25">
      <c r="A623" t="str">
        <f t="shared" si="80"/>
        <v>10807</v>
      </c>
      <c r="B623" t="s">
        <v>2438</v>
      </c>
      <c r="C623" t="s">
        <v>2439</v>
      </c>
      <c r="D623" t="s">
        <v>2492</v>
      </c>
      <c r="E623" t="s">
        <v>25</v>
      </c>
      <c r="F623" t="s">
        <v>26</v>
      </c>
      <c r="G623" t="str">
        <f t="shared" si="87"/>
        <v>37</v>
      </c>
      <c r="H623" t="str">
        <f>"12"</f>
        <v>12</v>
      </c>
      <c r="I623" t="s">
        <v>1331</v>
      </c>
      <c r="J623">
        <v>299.99900000000002</v>
      </c>
      <c r="K623">
        <v>0</v>
      </c>
      <c r="L623" t="s">
        <v>28</v>
      </c>
      <c r="M623" t="s">
        <v>2493</v>
      </c>
      <c r="N623">
        <v>1</v>
      </c>
      <c r="O623" t="str">
        <f>"723"</f>
        <v>723</v>
      </c>
      <c r="P623" t="s">
        <v>2489</v>
      </c>
      <c r="Q623" t="s">
        <v>1331</v>
      </c>
      <c r="R623" t="s">
        <v>31</v>
      </c>
      <c r="S623" t="s">
        <v>28</v>
      </c>
      <c r="T623" t="str">
        <f>"85504805"</f>
        <v>85504805</v>
      </c>
      <c r="U623" t="s">
        <v>2461</v>
      </c>
      <c r="V623" t="s">
        <v>2462</v>
      </c>
    </row>
    <row r="624" spans="1:22" x14ac:dyDescent="0.25">
      <c r="A624" t="str">
        <f t="shared" si="80"/>
        <v>10807</v>
      </c>
      <c r="B624" t="s">
        <v>2438</v>
      </c>
      <c r="C624" t="s">
        <v>2439</v>
      </c>
      <c r="D624" t="s">
        <v>2494</v>
      </c>
      <c r="E624" t="s">
        <v>25</v>
      </c>
      <c r="F624" t="s">
        <v>26</v>
      </c>
      <c r="G624" t="str">
        <f t="shared" si="87"/>
        <v>37</v>
      </c>
      <c r="H624" t="str">
        <f>"12"</f>
        <v>12</v>
      </c>
      <c r="I624" t="s">
        <v>1331</v>
      </c>
      <c r="J624">
        <v>299.93099999999998</v>
      </c>
      <c r="K624">
        <v>0</v>
      </c>
      <c r="L624" t="s">
        <v>28</v>
      </c>
      <c r="M624" t="s">
        <v>2495</v>
      </c>
      <c r="N624">
        <v>1</v>
      </c>
      <c r="O624" t="str">
        <f>"723"</f>
        <v>723</v>
      </c>
      <c r="P624" t="s">
        <v>2489</v>
      </c>
      <c r="Q624" t="s">
        <v>1331</v>
      </c>
      <c r="R624" t="s">
        <v>31</v>
      </c>
      <c r="S624" t="s">
        <v>28</v>
      </c>
      <c r="T624" t="str">
        <f>"85504805"</f>
        <v>85504805</v>
      </c>
      <c r="U624" t="s">
        <v>2461</v>
      </c>
      <c r="V624" t="s">
        <v>2462</v>
      </c>
    </row>
    <row r="625" spans="1:22" x14ac:dyDescent="0.25">
      <c r="A625" t="str">
        <f t="shared" si="80"/>
        <v>10807</v>
      </c>
      <c r="B625" t="s">
        <v>2438</v>
      </c>
      <c r="C625" t="s">
        <v>2439</v>
      </c>
      <c r="D625" t="s">
        <v>2496</v>
      </c>
      <c r="E625" t="s">
        <v>25</v>
      </c>
      <c r="F625" t="s">
        <v>26</v>
      </c>
      <c r="G625" t="str">
        <f t="shared" si="87"/>
        <v>37</v>
      </c>
      <c r="H625" t="str">
        <f>"12"</f>
        <v>12</v>
      </c>
      <c r="I625" t="s">
        <v>1331</v>
      </c>
      <c r="J625">
        <v>234.2</v>
      </c>
      <c r="K625">
        <v>0</v>
      </c>
      <c r="L625" t="s">
        <v>28</v>
      </c>
      <c r="M625" t="s">
        <v>2497</v>
      </c>
      <c r="N625">
        <v>1</v>
      </c>
      <c r="O625" t="str">
        <f>"723"</f>
        <v>723</v>
      </c>
      <c r="P625" t="s">
        <v>2489</v>
      </c>
      <c r="Q625" t="s">
        <v>1331</v>
      </c>
      <c r="R625" t="s">
        <v>31</v>
      </c>
      <c r="S625" t="s">
        <v>28</v>
      </c>
      <c r="T625" t="str">
        <f>"85504805"</f>
        <v>85504805</v>
      </c>
      <c r="U625" t="s">
        <v>2461</v>
      </c>
      <c r="V625" t="s">
        <v>2462</v>
      </c>
    </row>
    <row r="626" spans="1:22" x14ac:dyDescent="0.25">
      <c r="A626" t="str">
        <f t="shared" si="80"/>
        <v>10807</v>
      </c>
      <c r="B626" t="s">
        <v>2438</v>
      </c>
      <c r="C626" t="s">
        <v>2439</v>
      </c>
      <c r="D626" t="s">
        <v>2498</v>
      </c>
      <c r="E626" t="s">
        <v>25</v>
      </c>
      <c r="F626" t="s">
        <v>26</v>
      </c>
      <c r="G626" t="str">
        <f t="shared" si="87"/>
        <v>37</v>
      </c>
      <c r="H626" t="str">
        <f>"11"</f>
        <v>11</v>
      </c>
      <c r="I626" t="s">
        <v>1331</v>
      </c>
      <c r="J626">
        <v>100</v>
      </c>
      <c r="K626">
        <v>0</v>
      </c>
      <c r="L626" t="s">
        <v>28</v>
      </c>
      <c r="M626" t="s">
        <v>2499</v>
      </c>
      <c r="N626">
        <v>1</v>
      </c>
      <c r="O626" t="str">
        <f>"722"</f>
        <v>722</v>
      </c>
      <c r="P626" t="s">
        <v>2500</v>
      </c>
      <c r="Q626" t="s">
        <v>1331</v>
      </c>
      <c r="R626" t="s">
        <v>31</v>
      </c>
      <c r="S626" t="s">
        <v>28</v>
      </c>
      <c r="T626" t="str">
        <f>"38450883"</f>
        <v>38450883</v>
      </c>
      <c r="U626" t="s">
        <v>2501</v>
      </c>
      <c r="V626" t="s">
        <v>2502</v>
      </c>
    </row>
    <row r="627" spans="1:22" x14ac:dyDescent="0.25">
      <c r="A627" t="str">
        <f t="shared" si="80"/>
        <v>10807</v>
      </c>
      <c r="B627" t="s">
        <v>2438</v>
      </c>
      <c r="C627" t="s">
        <v>2439</v>
      </c>
      <c r="D627" t="s">
        <v>2503</v>
      </c>
      <c r="E627" t="s">
        <v>25</v>
      </c>
      <c r="F627" t="s">
        <v>26</v>
      </c>
      <c r="G627" t="str">
        <f t="shared" si="87"/>
        <v>37</v>
      </c>
      <c r="H627" t="str">
        <f>"12"</f>
        <v>12</v>
      </c>
      <c r="I627" t="s">
        <v>1331</v>
      </c>
      <c r="J627">
        <v>40</v>
      </c>
      <c r="K627">
        <v>0</v>
      </c>
      <c r="L627" t="s">
        <v>28</v>
      </c>
      <c r="M627" t="s">
        <v>2504</v>
      </c>
      <c r="N627">
        <v>1</v>
      </c>
      <c r="O627" t="str">
        <f>"723"</f>
        <v>723</v>
      </c>
      <c r="P627" t="s">
        <v>2442</v>
      </c>
      <c r="Q627" t="s">
        <v>1331</v>
      </c>
      <c r="R627" t="s">
        <v>31</v>
      </c>
      <c r="S627" t="s">
        <v>28</v>
      </c>
      <c r="T627" t="str">
        <f>"08261920"</f>
        <v>08261920</v>
      </c>
      <c r="U627" t="s">
        <v>2443</v>
      </c>
      <c r="V627" t="s">
        <v>2444</v>
      </c>
    </row>
    <row r="628" spans="1:22" x14ac:dyDescent="0.25">
      <c r="A628" t="str">
        <f t="shared" si="80"/>
        <v>10807</v>
      </c>
      <c r="B628" t="s">
        <v>2438</v>
      </c>
      <c r="C628" t="s">
        <v>2439</v>
      </c>
      <c r="D628" t="s">
        <v>2505</v>
      </c>
      <c r="E628" t="s">
        <v>25</v>
      </c>
      <c r="F628" t="s">
        <v>26</v>
      </c>
      <c r="G628" t="str">
        <f t="shared" si="87"/>
        <v>37</v>
      </c>
      <c r="H628" t="str">
        <f>"12"</f>
        <v>12</v>
      </c>
      <c r="I628" t="s">
        <v>1246</v>
      </c>
      <c r="J628">
        <v>10</v>
      </c>
      <c r="K628">
        <v>0</v>
      </c>
      <c r="L628" t="s">
        <v>28</v>
      </c>
      <c r="M628" t="s">
        <v>2506</v>
      </c>
      <c r="N628">
        <v>1</v>
      </c>
      <c r="O628" t="str">
        <f>"723"</f>
        <v>723</v>
      </c>
      <c r="P628" t="s">
        <v>2507</v>
      </c>
      <c r="Q628" t="s">
        <v>1246</v>
      </c>
      <c r="R628" t="s">
        <v>31</v>
      </c>
      <c r="S628" t="s">
        <v>28</v>
      </c>
      <c r="T628" t="str">
        <f>"76249516"</f>
        <v>76249516</v>
      </c>
      <c r="U628" t="s">
        <v>2508</v>
      </c>
      <c r="V628" t="s">
        <v>2509</v>
      </c>
    </row>
    <row r="629" spans="1:22" x14ac:dyDescent="0.25">
      <c r="A629" t="str">
        <f t="shared" si="80"/>
        <v>10807</v>
      </c>
      <c r="B629" t="s">
        <v>2438</v>
      </c>
      <c r="C629" t="s">
        <v>2439</v>
      </c>
      <c r="D629" t="s">
        <v>2510</v>
      </c>
      <c r="E629" t="s">
        <v>25</v>
      </c>
      <c r="F629" t="s">
        <v>26</v>
      </c>
      <c r="G629" t="str">
        <f t="shared" ref="G629:G658" si="88">"37"</f>
        <v>37</v>
      </c>
      <c r="H629" t="str">
        <f>"41"</f>
        <v>41</v>
      </c>
      <c r="I629" t="s">
        <v>1027</v>
      </c>
      <c r="J629">
        <v>3</v>
      </c>
      <c r="K629">
        <v>0</v>
      </c>
      <c r="L629" t="s">
        <v>28</v>
      </c>
      <c r="M629" t="s">
        <v>2511</v>
      </c>
      <c r="N629">
        <v>1</v>
      </c>
      <c r="O629" t="str">
        <f>"721"</f>
        <v>721</v>
      </c>
      <c r="P629" t="s">
        <v>2470</v>
      </c>
      <c r="Q629" t="s">
        <v>1027</v>
      </c>
      <c r="R629" t="s">
        <v>31</v>
      </c>
      <c r="S629" t="s">
        <v>28</v>
      </c>
      <c r="U629" t="s">
        <v>1274</v>
      </c>
      <c r="V629" t="s">
        <v>1097</v>
      </c>
    </row>
    <row r="630" spans="1:22" x14ac:dyDescent="0.25">
      <c r="A630" t="str">
        <f t="shared" si="80"/>
        <v>10807</v>
      </c>
      <c r="B630" t="s">
        <v>2438</v>
      </c>
      <c r="C630" t="s">
        <v>2439</v>
      </c>
      <c r="D630" t="s">
        <v>2512</v>
      </c>
      <c r="E630" t="s">
        <v>25</v>
      </c>
      <c r="F630" t="s">
        <v>26</v>
      </c>
      <c r="G630" t="str">
        <f t="shared" si="88"/>
        <v>37</v>
      </c>
      <c r="H630" t="str">
        <f t="shared" ref="H630:H639" si="89">"12"</f>
        <v>12</v>
      </c>
      <c r="I630" t="s">
        <v>1331</v>
      </c>
      <c r="J630">
        <v>12</v>
      </c>
      <c r="K630">
        <v>0</v>
      </c>
      <c r="L630" t="s">
        <v>28</v>
      </c>
      <c r="M630" t="s">
        <v>2513</v>
      </c>
      <c r="N630">
        <v>1</v>
      </c>
      <c r="O630" t="str">
        <f t="shared" ref="O630:O639" si="90">"723"</f>
        <v>723</v>
      </c>
      <c r="P630" t="s">
        <v>2442</v>
      </c>
      <c r="Q630" t="s">
        <v>1331</v>
      </c>
      <c r="R630" t="s">
        <v>31</v>
      </c>
      <c r="S630" t="s">
        <v>28</v>
      </c>
      <c r="T630" t="str">
        <f>"08261920"</f>
        <v>08261920</v>
      </c>
      <c r="U630" t="s">
        <v>2443</v>
      </c>
      <c r="V630" t="s">
        <v>2444</v>
      </c>
    </row>
    <row r="631" spans="1:22" x14ac:dyDescent="0.25">
      <c r="A631" t="str">
        <f t="shared" si="80"/>
        <v>10807</v>
      </c>
      <c r="B631" t="s">
        <v>2438</v>
      </c>
      <c r="C631" t="s">
        <v>2439</v>
      </c>
      <c r="D631" t="s">
        <v>2514</v>
      </c>
      <c r="E631" t="s">
        <v>25</v>
      </c>
      <c r="F631" t="s">
        <v>26</v>
      </c>
      <c r="G631" t="str">
        <f t="shared" si="88"/>
        <v>37</v>
      </c>
      <c r="H631" t="str">
        <f t="shared" si="89"/>
        <v>12</v>
      </c>
      <c r="I631" t="s">
        <v>1331</v>
      </c>
      <c r="J631">
        <v>80</v>
      </c>
      <c r="K631">
        <v>0</v>
      </c>
      <c r="L631" t="s">
        <v>28</v>
      </c>
      <c r="M631" t="s">
        <v>2515</v>
      </c>
      <c r="N631">
        <v>1</v>
      </c>
      <c r="O631" t="str">
        <f t="shared" si="90"/>
        <v>723</v>
      </c>
      <c r="P631" t="s">
        <v>2442</v>
      </c>
      <c r="Q631" t="s">
        <v>1331</v>
      </c>
      <c r="R631" t="s">
        <v>31</v>
      </c>
      <c r="S631" t="s">
        <v>28</v>
      </c>
      <c r="T631" t="str">
        <f>"08261920"</f>
        <v>08261920</v>
      </c>
      <c r="U631" t="s">
        <v>2443</v>
      </c>
      <c r="V631" t="s">
        <v>2444</v>
      </c>
    </row>
    <row r="632" spans="1:22" x14ac:dyDescent="0.25">
      <c r="A632" t="str">
        <f t="shared" ref="A632:A693" si="91">"10807"</f>
        <v>10807</v>
      </c>
      <c r="B632" t="s">
        <v>2438</v>
      </c>
      <c r="C632" t="s">
        <v>2439</v>
      </c>
      <c r="D632" t="s">
        <v>2516</v>
      </c>
      <c r="E632" t="s">
        <v>25</v>
      </c>
      <c r="F632" t="s">
        <v>26</v>
      </c>
      <c r="G632" t="str">
        <f t="shared" si="88"/>
        <v>37</v>
      </c>
      <c r="H632" t="str">
        <f t="shared" si="89"/>
        <v>12</v>
      </c>
      <c r="I632" t="s">
        <v>1331</v>
      </c>
      <c r="J632">
        <v>30</v>
      </c>
      <c r="K632">
        <v>0</v>
      </c>
      <c r="L632" t="s">
        <v>28</v>
      </c>
      <c r="M632" t="s">
        <v>2517</v>
      </c>
      <c r="N632">
        <v>1</v>
      </c>
      <c r="O632" t="str">
        <f t="shared" si="90"/>
        <v>723</v>
      </c>
      <c r="P632" t="s">
        <v>2442</v>
      </c>
      <c r="Q632" t="s">
        <v>1331</v>
      </c>
      <c r="R632" t="s">
        <v>31</v>
      </c>
      <c r="S632" t="s">
        <v>28</v>
      </c>
      <c r="T632" t="str">
        <f>"08261920"</f>
        <v>08261920</v>
      </c>
      <c r="U632" t="s">
        <v>2443</v>
      </c>
      <c r="V632" t="s">
        <v>2444</v>
      </c>
    </row>
    <row r="633" spans="1:22" x14ac:dyDescent="0.25">
      <c r="A633" t="str">
        <f t="shared" si="91"/>
        <v>10807</v>
      </c>
      <c r="B633" t="s">
        <v>2438</v>
      </c>
      <c r="C633" t="s">
        <v>2439</v>
      </c>
      <c r="D633" t="s">
        <v>2518</v>
      </c>
      <c r="E633" t="s">
        <v>25</v>
      </c>
      <c r="F633" t="s">
        <v>26</v>
      </c>
      <c r="G633" t="str">
        <f t="shared" si="88"/>
        <v>37</v>
      </c>
      <c r="H633" t="str">
        <f t="shared" si="89"/>
        <v>12</v>
      </c>
      <c r="I633" t="s">
        <v>1331</v>
      </c>
      <c r="J633">
        <v>132.26400000000001</v>
      </c>
      <c r="K633">
        <v>0</v>
      </c>
      <c r="L633" t="s">
        <v>28</v>
      </c>
      <c r="M633" t="s">
        <v>2519</v>
      </c>
      <c r="N633">
        <v>1</v>
      </c>
      <c r="O633" t="str">
        <f t="shared" si="90"/>
        <v>723</v>
      </c>
      <c r="P633" t="s">
        <v>2489</v>
      </c>
      <c r="Q633" t="s">
        <v>1331</v>
      </c>
      <c r="R633" t="s">
        <v>31</v>
      </c>
      <c r="S633" t="s">
        <v>28</v>
      </c>
      <c r="T633" t="str">
        <f>"85504805"</f>
        <v>85504805</v>
      </c>
      <c r="U633" t="s">
        <v>2461</v>
      </c>
      <c r="V633" t="s">
        <v>2462</v>
      </c>
    </row>
    <row r="634" spans="1:22" x14ac:dyDescent="0.25">
      <c r="A634" t="str">
        <f t="shared" si="91"/>
        <v>10807</v>
      </c>
      <c r="B634" t="s">
        <v>2438</v>
      </c>
      <c r="C634" t="s">
        <v>2439</v>
      </c>
      <c r="D634" t="s">
        <v>2520</v>
      </c>
      <c r="E634" t="s">
        <v>25</v>
      </c>
      <c r="F634" t="s">
        <v>26</v>
      </c>
      <c r="G634" t="str">
        <f t="shared" si="88"/>
        <v>37</v>
      </c>
      <c r="H634" t="str">
        <f t="shared" si="89"/>
        <v>12</v>
      </c>
      <c r="I634" t="s">
        <v>1331</v>
      </c>
      <c r="J634">
        <v>274.447</v>
      </c>
      <c r="K634">
        <v>0</v>
      </c>
      <c r="L634" t="s">
        <v>28</v>
      </c>
      <c r="M634" t="s">
        <v>2521</v>
      </c>
      <c r="N634">
        <v>1</v>
      </c>
      <c r="O634" t="str">
        <f t="shared" si="90"/>
        <v>723</v>
      </c>
      <c r="P634" t="s">
        <v>2489</v>
      </c>
      <c r="Q634" t="s">
        <v>1331</v>
      </c>
      <c r="R634" t="s">
        <v>31</v>
      </c>
      <c r="S634" t="s">
        <v>28</v>
      </c>
      <c r="T634" t="str">
        <f>"85504805"</f>
        <v>85504805</v>
      </c>
      <c r="U634" t="s">
        <v>2461</v>
      </c>
      <c r="V634" t="s">
        <v>2462</v>
      </c>
    </row>
    <row r="635" spans="1:22" x14ac:dyDescent="0.25">
      <c r="A635" t="str">
        <f t="shared" si="91"/>
        <v>10807</v>
      </c>
      <c r="B635" t="s">
        <v>2438</v>
      </c>
      <c r="C635" t="s">
        <v>2439</v>
      </c>
      <c r="D635" t="s">
        <v>2522</v>
      </c>
      <c r="E635" t="s">
        <v>25</v>
      </c>
      <c r="F635" t="s">
        <v>26</v>
      </c>
      <c r="G635" t="str">
        <f t="shared" si="88"/>
        <v>37</v>
      </c>
      <c r="H635" t="str">
        <f t="shared" si="89"/>
        <v>12</v>
      </c>
      <c r="I635" t="s">
        <v>1331</v>
      </c>
      <c r="J635">
        <v>220</v>
      </c>
      <c r="K635">
        <v>0</v>
      </c>
      <c r="L635" t="s">
        <v>28</v>
      </c>
      <c r="M635" t="s">
        <v>2523</v>
      </c>
      <c r="N635">
        <v>1</v>
      </c>
      <c r="O635" t="str">
        <f t="shared" si="90"/>
        <v>723</v>
      </c>
      <c r="P635" t="s">
        <v>2489</v>
      </c>
      <c r="Q635" t="s">
        <v>1331</v>
      </c>
      <c r="R635" t="s">
        <v>31</v>
      </c>
      <c r="S635" t="s">
        <v>28</v>
      </c>
      <c r="T635" t="str">
        <f>"85504805"</f>
        <v>85504805</v>
      </c>
      <c r="U635" t="s">
        <v>2461</v>
      </c>
      <c r="V635" t="s">
        <v>2462</v>
      </c>
    </row>
    <row r="636" spans="1:22" x14ac:dyDescent="0.25">
      <c r="A636" t="str">
        <f t="shared" si="91"/>
        <v>10807</v>
      </c>
      <c r="B636" t="s">
        <v>2438</v>
      </c>
      <c r="C636" t="s">
        <v>2439</v>
      </c>
      <c r="D636" t="s">
        <v>2524</v>
      </c>
      <c r="E636" t="s">
        <v>25</v>
      </c>
      <c r="F636" t="s">
        <v>26</v>
      </c>
      <c r="G636" t="str">
        <f t="shared" si="88"/>
        <v>37</v>
      </c>
      <c r="H636" t="str">
        <f t="shared" si="89"/>
        <v>12</v>
      </c>
      <c r="I636" t="s">
        <v>1331</v>
      </c>
      <c r="J636">
        <v>235</v>
      </c>
      <c r="K636">
        <v>0</v>
      </c>
      <c r="L636" t="s">
        <v>28</v>
      </c>
      <c r="M636" t="s">
        <v>2525</v>
      </c>
      <c r="N636">
        <v>1</v>
      </c>
      <c r="O636" t="str">
        <f t="shared" si="90"/>
        <v>723</v>
      </c>
      <c r="P636" t="s">
        <v>2489</v>
      </c>
      <c r="Q636" t="s">
        <v>1331</v>
      </c>
      <c r="R636" t="s">
        <v>31</v>
      </c>
      <c r="S636" t="s">
        <v>28</v>
      </c>
      <c r="T636" t="str">
        <f>"85504805"</f>
        <v>85504805</v>
      </c>
      <c r="U636" t="s">
        <v>2461</v>
      </c>
      <c r="V636" t="s">
        <v>2462</v>
      </c>
    </row>
    <row r="637" spans="1:22" x14ac:dyDescent="0.25">
      <c r="A637" t="str">
        <f t="shared" si="91"/>
        <v>10807</v>
      </c>
      <c r="B637" t="s">
        <v>2438</v>
      </c>
      <c r="C637" t="s">
        <v>2439</v>
      </c>
      <c r="D637" t="s">
        <v>2526</v>
      </c>
      <c r="E637" t="s">
        <v>25</v>
      </c>
      <c r="F637" t="s">
        <v>26</v>
      </c>
      <c r="G637" t="str">
        <f t="shared" si="88"/>
        <v>37</v>
      </c>
      <c r="H637" t="str">
        <f t="shared" si="89"/>
        <v>12</v>
      </c>
      <c r="I637" t="s">
        <v>1331</v>
      </c>
      <c r="J637">
        <v>162.46799999999999</v>
      </c>
      <c r="K637">
        <v>0</v>
      </c>
      <c r="L637" t="s">
        <v>28</v>
      </c>
      <c r="M637" t="s">
        <v>2527</v>
      </c>
      <c r="N637">
        <v>1</v>
      </c>
      <c r="O637" t="str">
        <f t="shared" si="90"/>
        <v>723</v>
      </c>
      <c r="P637" t="s">
        <v>2442</v>
      </c>
      <c r="Q637" t="s">
        <v>1331</v>
      </c>
      <c r="R637" t="s">
        <v>31</v>
      </c>
      <c r="S637" t="s">
        <v>28</v>
      </c>
      <c r="T637" t="str">
        <f>"08261920"</f>
        <v>08261920</v>
      </c>
      <c r="U637" t="s">
        <v>2443</v>
      </c>
      <c r="V637" t="s">
        <v>2444</v>
      </c>
    </row>
    <row r="638" spans="1:22" x14ac:dyDescent="0.25">
      <c r="A638" t="str">
        <f t="shared" si="91"/>
        <v>10807</v>
      </c>
      <c r="B638" t="s">
        <v>2438</v>
      </c>
      <c r="C638" t="s">
        <v>2439</v>
      </c>
      <c r="D638" t="s">
        <v>2528</v>
      </c>
      <c r="E638" t="s">
        <v>25</v>
      </c>
      <c r="F638" t="s">
        <v>26</v>
      </c>
      <c r="G638" t="str">
        <f t="shared" si="88"/>
        <v>37</v>
      </c>
      <c r="H638" t="str">
        <f t="shared" si="89"/>
        <v>12</v>
      </c>
      <c r="I638" t="s">
        <v>1331</v>
      </c>
      <c r="J638">
        <v>99</v>
      </c>
      <c r="K638">
        <v>0</v>
      </c>
      <c r="L638" t="s">
        <v>28</v>
      </c>
      <c r="M638" t="s">
        <v>2529</v>
      </c>
      <c r="N638">
        <v>1</v>
      </c>
      <c r="O638" t="str">
        <f t="shared" si="90"/>
        <v>723</v>
      </c>
      <c r="P638" t="s">
        <v>2442</v>
      </c>
      <c r="Q638" t="s">
        <v>1331</v>
      </c>
      <c r="R638" t="s">
        <v>31</v>
      </c>
      <c r="S638" t="s">
        <v>28</v>
      </c>
      <c r="T638" t="str">
        <f>"08261920"</f>
        <v>08261920</v>
      </c>
      <c r="U638" t="s">
        <v>2443</v>
      </c>
      <c r="V638" t="s">
        <v>2444</v>
      </c>
    </row>
    <row r="639" spans="1:22" x14ac:dyDescent="0.25">
      <c r="A639" t="str">
        <f t="shared" si="91"/>
        <v>10807</v>
      </c>
      <c r="B639" t="s">
        <v>2438</v>
      </c>
      <c r="C639" t="s">
        <v>2439</v>
      </c>
      <c r="D639" t="s">
        <v>2530</v>
      </c>
      <c r="E639" t="s">
        <v>25</v>
      </c>
      <c r="F639" t="s">
        <v>26</v>
      </c>
      <c r="G639" t="str">
        <f t="shared" si="88"/>
        <v>37</v>
      </c>
      <c r="H639" t="str">
        <f t="shared" si="89"/>
        <v>12</v>
      </c>
      <c r="I639" t="s">
        <v>1331</v>
      </c>
      <c r="J639">
        <v>60</v>
      </c>
      <c r="K639">
        <v>0</v>
      </c>
      <c r="L639" t="s">
        <v>28</v>
      </c>
      <c r="M639" t="s">
        <v>2531</v>
      </c>
      <c r="N639">
        <v>1</v>
      </c>
      <c r="O639" t="str">
        <f t="shared" si="90"/>
        <v>723</v>
      </c>
      <c r="P639" t="s">
        <v>2442</v>
      </c>
      <c r="Q639" t="s">
        <v>1331</v>
      </c>
      <c r="R639" t="s">
        <v>31</v>
      </c>
      <c r="S639" t="s">
        <v>28</v>
      </c>
      <c r="T639" t="str">
        <f>"08261920"</f>
        <v>08261920</v>
      </c>
      <c r="U639" t="s">
        <v>2443</v>
      </c>
      <c r="V639" t="s">
        <v>2444</v>
      </c>
    </row>
    <row r="640" spans="1:22" x14ac:dyDescent="0.25">
      <c r="A640" t="str">
        <f t="shared" si="91"/>
        <v>10807</v>
      </c>
      <c r="B640" t="s">
        <v>2438</v>
      </c>
      <c r="C640" t="s">
        <v>2439</v>
      </c>
      <c r="D640" t="s">
        <v>2532</v>
      </c>
      <c r="E640" t="s">
        <v>25</v>
      </c>
      <c r="F640" t="s">
        <v>26</v>
      </c>
      <c r="G640" t="str">
        <f t="shared" si="88"/>
        <v>37</v>
      </c>
      <c r="H640" t="str">
        <f>"11"</f>
        <v>11</v>
      </c>
      <c r="I640" t="s">
        <v>1402</v>
      </c>
      <c r="J640">
        <v>40</v>
      </c>
      <c r="K640">
        <v>0</v>
      </c>
      <c r="L640" t="s">
        <v>28</v>
      </c>
      <c r="M640" t="s">
        <v>2533</v>
      </c>
      <c r="N640">
        <v>1</v>
      </c>
      <c r="O640" t="str">
        <f>"722"</f>
        <v>722</v>
      </c>
      <c r="P640" t="s">
        <v>2534</v>
      </c>
      <c r="Q640" t="s">
        <v>1402</v>
      </c>
      <c r="R640" t="s">
        <v>31</v>
      </c>
      <c r="S640" t="s">
        <v>28</v>
      </c>
      <c r="T640" t="str">
        <f>"62945210"</f>
        <v>62945210</v>
      </c>
      <c r="U640" t="s">
        <v>2535</v>
      </c>
      <c r="V640" t="s">
        <v>2536</v>
      </c>
    </row>
    <row r="641" spans="1:22" x14ac:dyDescent="0.25">
      <c r="A641" t="str">
        <f t="shared" si="91"/>
        <v>10807</v>
      </c>
      <c r="B641" t="s">
        <v>2438</v>
      </c>
      <c r="C641" t="s">
        <v>2439</v>
      </c>
      <c r="D641" t="s">
        <v>2537</v>
      </c>
      <c r="E641" t="s">
        <v>25</v>
      </c>
      <c r="F641" t="s">
        <v>26</v>
      </c>
      <c r="G641" t="str">
        <f t="shared" si="88"/>
        <v>37</v>
      </c>
      <c r="H641" t="str">
        <f t="shared" ref="H641:H652" si="92">"41"</f>
        <v>41</v>
      </c>
      <c r="I641" t="s">
        <v>1027</v>
      </c>
      <c r="J641">
        <v>3</v>
      </c>
      <c r="K641">
        <v>0</v>
      </c>
      <c r="L641" t="s">
        <v>28</v>
      </c>
      <c r="M641" t="s">
        <v>2538</v>
      </c>
      <c r="N641">
        <v>1</v>
      </c>
      <c r="O641" t="str">
        <f t="shared" ref="O641:O652" si="93">"721"</f>
        <v>721</v>
      </c>
      <c r="P641" t="s">
        <v>2470</v>
      </c>
      <c r="Q641" t="s">
        <v>1027</v>
      </c>
      <c r="R641" t="s">
        <v>31</v>
      </c>
      <c r="S641" t="s">
        <v>28</v>
      </c>
      <c r="U641" t="s">
        <v>1274</v>
      </c>
      <c r="V641" t="s">
        <v>1097</v>
      </c>
    </row>
    <row r="642" spans="1:22" x14ac:dyDescent="0.25">
      <c r="A642" t="str">
        <f t="shared" si="91"/>
        <v>10807</v>
      </c>
      <c r="B642" t="s">
        <v>2438</v>
      </c>
      <c r="C642" t="s">
        <v>2439</v>
      </c>
      <c r="D642" t="s">
        <v>2537</v>
      </c>
      <c r="E642" t="s">
        <v>25</v>
      </c>
      <c r="F642" t="s">
        <v>26</v>
      </c>
      <c r="G642" t="str">
        <f t="shared" si="88"/>
        <v>37</v>
      </c>
      <c r="H642" t="str">
        <f t="shared" si="92"/>
        <v>41</v>
      </c>
      <c r="I642" t="s">
        <v>1027</v>
      </c>
      <c r="J642">
        <v>3</v>
      </c>
      <c r="K642">
        <v>0</v>
      </c>
      <c r="L642" t="s">
        <v>28</v>
      </c>
      <c r="M642" t="s">
        <v>2539</v>
      </c>
      <c r="N642">
        <v>1</v>
      </c>
      <c r="O642" t="str">
        <f t="shared" si="93"/>
        <v>721</v>
      </c>
      <c r="P642" t="s">
        <v>2470</v>
      </c>
      <c r="Q642" t="s">
        <v>1027</v>
      </c>
      <c r="R642" t="s">
        <v>31</v>
      </c>
      <c r="S642" t="s">
        <v>28</v>
      </c>
      <c r="U642" t="s">
        <v>1274</v>
      </c>
      <c r="V642" t="s">
        <v>1097</v>
      </c>
    </row>
    <row r="643" spans="1:22" x14ac:dyDescent="0.25">
      <c r="A643" t="str">
        <f t="shared" si="91"/>
        <v>10807</v>
      </c>
      <c r="B643" t="s">
        <v>2438</v>
      </c>
      <c r="C643" t="s">
        <v>2439</v>
      </c>
      <c r="D643" t="s">
        <v>2537</v>
      </c>
      <c r="E643" t="s">
        <v>25</v>
      </c>
      <c r="F643" t="s">
        <v>26</v>
      </c>
      <c r="G643" t="str">
        <f t="shared" si="88"/>
        <v>37</v>
      </c>
      <c r="H643" t="str">
        <f t="shared" si="92"/>
        <v>41</v>
      </c>
      <c r="I643" t="s">
        <v>1027</v>
      </c>
      <c r="J643">
        <v>3</v>
      </c>
      <c r="K643">
        <v>0</v>
      </c>
      <c r="L643" t="s">
        <v>28</v>
      </c>
      <c r="M643" t="s">
        <v>2540</v>
      </c>
      <c r="N643">
        <v>1</v>
      </c>
      <c r="O643" t="str">
        <f t="shared" si="93"/>
        <v>721</v>
      </c>
      <c r="P643" t="s">
        <v>2470</v>
      </c>
      <c r="Q643" t="s">
        <v>1027</v>
      </c>
      <c r="R643" t="s">
        <v>31</v>
      </c>
      <c r="S643" t="s">
        <v>28</v>
      </c>
      <c r="U643" t="s">
        <v>1274</v>
      </c>
      <c r="V643" t="s">
        <v>1097</v>
      </c>
    </row>
    <row r="644" spans="1:22" x14ac:dyDescent="0.25">
      <c r="A644" t="str">
        <f t="shared" si="91"/>
        <v>10807</v>
      </c>
      <c r="B644" t="s">
        <v>2438</v>
      </c>
      <c r="C644" t="s">
        <v>2439</v>
      </c>
      <c r="D644" t="s">
        <v>2537</v>
      </c>
      <c r="E644" t="s">
        <v>25</v>
      </c>
      <c r="F644" t="s">
        <v>26</v>
      </c>
      <c r="G644" t="str">
        <f t="shared" si="88"/>
        <v>37</v>
      </c>
      <c r="H644" t="str">
        <f t="shared" si="92"/>
        <v>41</v>
      </c>
      <c r="I644" t="s">
        <v>1027</v>
      </c>
      <c r="J644">
        <v>3</v>
      </c>
      <c r="K644">
        <v>0</v>
      </c>
      <c r="L644" t="s">
        <v>28</v>
      </c>
      <c r="M644" t="s">
        <v>2541</v>
      </c>
      <c r="N644">
        <v>1</v>
      </c>
      <c r="O644" t="str">
        <f t="shared" si="93"/>
        <v>721</v>
      </c>
      <c r="P644" t="s">
        <v>2470</v>
      </c>
      <c r="Q644" t="s">
        <v>1027</v>
      </c>
      <c r="R644" t="s">
        <v>31</v>
      </c>
      <c r="S644" t="s">
        <v>28</v>
      </c>
      <c r="U644" t="s">
        <v>1274</v>
      </c>
      <c r="V644" t="s">
        <v>1097</v>
      </c>
    </row>
    <row r="645" spans="1:22" x14ac:dyDescent="0.25">
      <c r="A645" t="str">
        <f t="shared" si="91"/>
        <v>10807</v>
      </c>
      <c r="B645" t="s">
        <v>2438</v>
      </c>
      <c r="C645" t="s">
        <v>2439</v>
      </c>
      <c r="D645" t="s">
        <v>2542</v>
      </c>
      <c r="E645" t="s">
        <v>25</v>
      </c>
      <c r="F645" t="s">
        <v>26</v>
      </c>
      <c r="G645" t="str">
        <f t="shared" si="88"/>
        <v>37</v>
      </c>
      <c r="H645" t="str">
        <f t="shared" si="92"/>
        <v>41</v>
      </c>
      <c r="I645" t="s">
        <v>1027</v>
      </c>
      <c r="J645">
        <v>2</v>
      </c>
      <c r="K645">
        <v>0</v>
      </c>
      <c r="L645" t="s">
        <v>28</v>
      </c>
      <c r="M645" t="s">
        <v>2543</v>
      </c>
      <c r="N645">
        <v>1</v>
      </c>
      <c r="O645" t="str">
        <f t="shared" si="93"/>
        <v>721</v>
      </c>
      <c r="P645" t="s">
        <v>2544</v>
      </c>
      <c r="Q645" t="s">
        <v>1027</v>
      </c>
      <c r="R645" t="s">
        <v>31</v>
      </c>
      <c r="S645" t="s">
        <v>28</v>
      </c>
      <c r="U645" t="s">
        <v>1274</v>
      </c>
      <c r="V645" t="s">
        <v>1097</v>
      </c>
    </row>
    <row r="646" spans="1:22" x14ac:dyDescent="0.25">
      <c r="A646" t="str">
        <f t="shared" si="91"/>
        <v>10807</v>
      </c>
      <c r="B646" t="s">
        <v>2438</v>
      </c>
      <c r="C646" t="s">
        <v>2439</v>
      </c>
      <c r="D646" t="s">
        <v>2542</v>
      </c>
      <c r="E646" t="s">
        <v>25</v>
      </c>
      <c r="F646" t="s">
        <v>26</v>
      </c>
      <c r="G646" t="str">
        <f t="shared" si="88"/>
        <v>37</v>
      </c>
      <c r="H646" t="str">
        <f t="shared" si="92"/>
        <v>41</v>
      </c>
      <c r="I646" t="s">
        <v>1027</v>
      </c>
      <c r="J646">
        <v>2</v>
      </c>
      <c r="K646">
        <v>0</v>
      </c>
      <c r="L646" t="s">
        <v>28</v>
      </c>
      <c r="M646" t="s">
        <v>2545</v>
      </c>
      <c r="N646">
        <v>1</v>
      </c>
      <c r="O646" t="str">
        <f t="shared" si="93"/>
        <v>721</v>
      </c>
      <c r="P646" t="s">
        <v>2544</v>
      </c>
      <c r="Q646" t="s">
        <v>1027</v>
      </c>
      <c r="R646" t="s">
        <v>31</v>
      </c>
      <c r="S646" t="s">
        <v>28</v>
      </c>
      <c r="U646" t="s">
        <v>1274</v>
      </c>
      <c r="V646" t="s">
        <v>1097</v>
      </c>
    </row>
    <row r="647" spans="1:22" x14ac:dyDescent="0.25">
      <c r="A647" t="str">
        <f t="shared" si="91"/>
        <v>10807</v>
      </c>
      <c r="B647" t="s">
        <v>2438</v>
      </c>
      <c r="C647" t="s">
        <v>2439</v>
      </c>
      <c r="D647" t="s">
        <v>2542</v>
      </c>
      <c r="E647" t="s">
        <v>25</v>
      </c>
      <c r="F647" t="s">
        <v>26</v>
      </c>
      <c r="G647" t="str">
        <f t="shared" si="88"/>
        <v>37</v>
      </c>
      <c r="H647" t="str">
        <f t="shared" si="92"/>
        <v>41</v>
      </c>
      <c r="I647" t="s">
        <v>1027</v>
      </c>
      <c r="J647">
        <v>5</v>
      </c>
      <c r="K647">
        <v>0</v>
      </c>
      <c r="L647" t="s">
        <v>28</v>
      </c>
      <c r="M647" t="s">
        <v>2546</v>
      </c>
      <c r="N647">
        <v>1</v>
      </c>
      <c r="O647" t="str">
        <f t="shared" si="93"/>
        <v>721</v>
      </c>
      <c r="P647" t="s">
        <v>2544</v>
      </c>
      <c r="Q647" t="s">
        <v>1027</v>
      </c>
      <c r="R647" t="s">
        <v>31</v>
      </c>
      <c r="S647" t="s">
        <v>28</v>
      </c>
      <c r="U647" t="s">
        <v>1274</v>
      </c>
      <c r="V647" t="s">
        <v>1097</v>
      </c>
    </row>
    <row r="648" spans="1:22" x14ac:dyDescent="0.25">
      <c r="A648" t="str">
        <f t="shared" si="91"/>
        <v>10807</v>
      </c>
      <c r="B648" t="s">
        <v>2438</v>
      </c>
      <c r="C648" t="s">
        <v>2439</v>
      </c>
      <c r="D648" t="s">
        <v>2542</v>
      </c>
      <c r="E648" t="s">
        <v>25</v>
      </c>
      <c r="F648" t="s">
        <v>26</v>
      </c>
      <c r="G648" t="str">
        <f t="shared" si="88"/>
        <v>37</v>
      </c>
      <c r="H648" t="str">
        <f t="shared" si="92"/>
        <v>41</v>
      </c>
      <c r="I648" t="s">
        <v>1027</v>
      </c>
      <c r="J648">
        <v>2</v>
      </c>
      <c r="K648">
        <v>0</v>
      </c>
      <c r="L648" t="s">
        <v>28</v>
      </c>
      <c r="M648" t="s">
        <v>2547</v>
      </c>
      <c r="N648">
        <v>1</v>
      </c>
      <c r="O648" t="str">
        <f t="shared" si="93"/>
        <v>721</v>
      </c>
      <c r="P648" t="s">
        <v>2544</v>
      </c>
      <c r="Q648" t="s">
        <v>1027</v>
      </c>
      <c r="R648" t="s">
        <v>31</v>
      </c>
      <c r="S648" t="s">
        <v>28</v>
      </c>
      <c r="U648" t="s">
        <v>1274</v>
      </c>
      <c r="V648" t="s">
        <v>1097</v>
      </c>
    </row>
    <row r="649" spans="1:22" x14ac:dyDescent="0.25">
      <c r="A649" t="str">
        <f t="shared" si="91"/>
        <v>10807</v>
      </c>
      <c r="B649" t="s">
        <v>2438</v>
      </c>
      <c r="C649" t="s">
        <v>2439</v>
      </c>
      <c r="D649" t="s">
        <v>2542</v>
      </c>
      <c r="E649" t="s">
        <v>25</v>
      </c>
      <c r="F649" t="s">
        <v>26</v>
      </c>
      <c r="G649" t="str">
        <f t="shared" si="88"/>
        <v>37</v>
      </c>
      <c r="H649" t="str">
        <f t="shared" si="92"/>
        <v>41</v>
      </c>
      <c r="I649" t="s">
        <v>1027</v>
      </c>
      <c r="J649">
        <v>5</v>
      </c>
      <c r="K649">
        <v>0</v>
      </c>
      <c r="L649" t="s">
        <v>28</v>
      </c>
      <c r="M649" t="s">
        <v>2548</v>
      </c>
      <c r="N649">
        <v>1</v>
      </c>
      <c r="O649" t="str">
        <f t="shared" si="93"/>
        <v>721</v>
      </c>
      <c r="P649" t="s">
        <v>2544</v>
      </c>
      <c r="Q649" t="s">
        <v>1027</v>
      </c>
      <c r="R649" t="s">
        <v>31</v>
      </c>
      <c r="S649" t="s">
        <v>28</v>
      </c>
      <c r="U649" t="s">
        <v>1274</v>
      </c>
      <c r="V649" t="s">
        <v>1097</v>
      </c>
    </row>
    <row r="650" spans="1:22" x14ac:dyDescent="0.25">
      <c r="A650" t="str">
        <f t="shared" si="91"/>
        <v>10807</v>
      </c>
      <c r="B650" t="s">
        <v>2438</v>
      </c>
      <c r="C650" t="s">
        <v>2439</v>
      </c>
      <c r="D650" t="s">
        <v>2542</v>
      </c>
      <c r="E650" t="s">
        <v>25</v>
      </c>
      <c r="F650" t="s">
        <v>26</v>
      </c>
      <c r="G650" t="str">
        <f t="shared" si="88"/>
        <v>37</v>
      </c>
      <c r="H650" t="str">
        <f t="shared" si="92"/>
        <v>41</v>
      </c>
      <c r="I650" t="s">
        <v>1027</v>
      </c>
      <c r="J650">
        <v>2</v>
      </c>
      <c r="K650">
        <v>0</v>
      </c>
      <c r="L650" t="s">
        <v>28</v>
      </c>
      <c r="M650" t="s">
        <v>2549</v>
      </c>
      <c r="N650">
        <v>1</v>
      </c>
      <c r="O650" t="str">
        <f t="shared" si="93"/>
        <v>721</v>
      </c>
      <c r="P650" t="s">
        <v>2544</v>
      </c>
      <c r="Q650" t="s">
        <v>1027</v>
      </c>
      <c r="R650" t="s">
        <v>31</v>
      </c>
      <c r="S650" t="s">
        <v>28</v>
      </c>
      <c r="U650" t="s">
        <v>1274</v>
      </c>
      <c r="V650" t="s">
        <v>1097</v>
      </c>
    </row>
    <row r="651" spans="1:22" x14ac:dyDescent="0.25">
      <c r="A651" t="str">
        <f t="shared" si="91"/>
        <v>10807</v>
      </c>
      <c r="B651" t="s">
        <v>2438</v>
      </c>
      <c r="C651" t="s">
        <v>2439</v>
      </c>
      <c r="D651" t="s">
        <v>2542</v>
      </c>
      <c r="E651" t="s">
        <v>25</v>
      </c>
      <c r="F651" t="s">
        <v>26</v>
      </c>
      <c r="G651" t="str">
        <f t="shared" si="88"/>
        <v>37</v>
      </c>
      <c r="H651" t="str">
        <f t="shared" si="92"/>
        <v>41</v>
      </c>
      <c r="I651" t="s">
        <v>1027</v>
      </c>
      <c r="J651">
        <v>2</v>
      </c>
      <c r="K651">
        <v>0</v>
      </c>
      <c r="L651" t="s">
        <v>28</v>
      </c>
      <c r="M651" t="s">
        <v>2550</v>
      </c>
      <c r="N651">
        <v>1</v>
      </c>
      <c r="O651" t="str">
        <f t="shared" si="93"/>
        <v>721</v>
      </c>
      <c r="P651" t="s">
        <v>2544</v>
      </c>
      <c r="Q651" t="s">
        <v>1027</v>
      </c>
      <c r="R651" t="s">
        <v>31</v>
      </c>
      <c r="S651" t="s">
        <v>28</v>
      </c>
      <c r="U651" t="s">
        <v>1274</v>
      </c>
      <c r="V651" t="s">
        <v>1097</v>
      </c>
    </row>
    <row r="652" spans="1:22" x14ac:dyDescent="0.25">
      <c r="A652" t="str">
        <f t="shared" si="91"/>
        <v>10807</v>
      </c>
      <c r="B652" t="s">
        <v>2438</v>
      </c>
      <c r="C652" t="s">
        <v>2439</v>
      </c>
      <c r="D652" t="s">
        <v>2542</v>
      </c>
      <c r="E652" t="s">
        <v>25</v>
      </c>
      <c r="F652" t="s">
        <v>26</v>
      </c>
      <c r="G652" t="str">
        <f t="shared" si="88"/>
        <v>37</v>
      </c>
      <c r="H652" t="str">
        <f t="shared" si="92"/>
        <v>41</v>
      </c>
      <c r="I652" t="s">
        <v>1027</v>
      </c>
      <c r="J652">
        <v>2</v>
      </c>
      <c r="K652">
        <v>0</v>
      </c>
      <c r="L652" t="s">
        <v>28</v>
      </c>
      <c r="M652" t="s">
        <v>2551</v>
      </c>
      <c r="N652">
        <v>1</v>
      </c>
      <c r="O652" t="str">
        <f t="shared" si="93"/>
        <v>721</v>
      </c>
      <c r="P652" t="s">
        <v>2544</v>
      </c>
      <c r="Q652" t="s">
        <v>1027</v>
      </c>
      <c r="R652" t="s">
        <v>31</v>
      </c>
      <c r="S652" t="s">
        <v>28</v>
      </c>
      <c r="U652" t="s">
        <v>1274</v>
      </c>
      <c r="V652" t="s">
        <v>1097</v>
      </c>
    </row>
    <row r="653" spans="1:22" x14ac:dyDescent="0.25">
      <c r="A653" t="str">
        <f t="shared" si="91"/>
        <v>10807</v>
      </c>
      <c r="B653" t="s">
        <v>2438</v>
      </c>
      <c r="C653" t="s">
        <v>2439</v>
      </c>
      <c r="D653" t="s">
        <v>2552</v>
      </c>
      <c r="E653" t="s">
        <v>25</v>
      </c>
      <c r="F653" t="s">
        <v>26</v>
      </c>
      <c r="G653" t="str">
        <f t="shared" si="88"/>
        <v>37</v>
      </c>
      <c r="H653" t="str">
        <f>"11"</f>
        <v>11</v>
      </c>
      <c r="I653" t="s">
        <v>1331</v>
      </c>
      <c r="J653">
        <v>100</v>
      </c>
      <c r="K653">
        <v>0</v>
      </c>
      <c r="L653" t="s">
        <v>28</v>
      </c>
      <c r="M653" t="s">
        <v>2553</v>
      </c>
      <c r="N653">
        <v>1</v>
      </c>
      <c r="O653" t="str">
        <f>"722"</f>
        <v>722</v>
      </c>
      <c r="P653" t="s">
        <v>2554</v>
      </c>
      <c r="Q653" t="s">
        <v>1331</v>
      </c>
      <c r="R653" t="s">
        <v>31</v>
      </c>
      <c r="S653" t="s">
        <v>28</v>
      </c>
      <c r="T653" t="str">
        <f>"87884345"</f>
        <v>87884345</v>
      </c>
      <c r="U653" t="s">
        <v>2555</v>
      </c>
      <c r="V653" t="s">
        <v>2556</v>
      </c>
    </row>
    <row r="654" spans="1:22" x14ac:dyDescent="0.25">
      <c r="A654" t="str">
        <f t="shared" si="91"/>
        <v>10807</v>
      </c>
      <c r="B654" t="s">
        <v>2438</v>
      </c>
      <c r="C654" t="s">
        <v>2439</v>
      </c>
      <c r="D654" t="s">
        <v>2557</v>
      </c>
      <c r="E654" t="s">
        <v>25</v>
      </c>
      <c r="F654" t="s">
        <v>26</v>
      </c>
      <c r="G654" t="str">
        <f t="shared" si="88"/>
        <v>37</v>
      </c>
      <c r="H654" t="str">
        <f>"12"</f>
        <v>12</v>
      </c>
      <c r="I654" t="s">
        <v>1331</v>
      </c>
      <c r="J654">
        <v>299.99900000000002</v>
      </c>
      <c r="K654">
        <v>0</v>
      </c>
      <c r="L654" t="s">
        <v>28</v>
      </c>
      <c r="M654" t="s">
        <v>2558</v>
      </c>
      <c r="N654">
        <v>1</v>
      </c>
      <c r="O654" t="str">
        <f>"723"</f>
        <v>723</v>
      </c>
      <c r="P654" t="s">
        <v>2489</v>
      </c>
      <c r="Q654" t="s">
        <v>1331</v>
      </c>
      <c r="R654" t="s">
        <v>31</v>
      </c>
      <c r="S654" t="s">
        <v>28</v>
      </c>
      <c r="T654" t="str">
        <f>"85504805"</f>
        <v>85504805</v>
      </c>
      <c r="U654" t="s">
        <v>2461</v>
      </c>
      <c r="V654" t="s">
        <v>2462</v>
      </c>
    </row>
    <row r="655" spans="1:22" x14ac:dyDescent="0.25">
      <c r="A655" t="str">
        <f t="shared" si="91"/>
        <v>10807</v>
      </c>
      <c r="B655" t="s">
        <v>2438</v>
      </c>
      <c r="C655" t="s">
        <v>2439</v>
      </c>
      <c r="D655" t="s">
        <v>2559</v>
      </c>
      <c r="E655" t="s">
        <v>25</v>
      </c>
      <c r="F655" t="s">
        <v>26</v>
      </c>
      <c r="G655" t="str">
        <f t="shared" si="88"/>
        <v>37</v>
      </c>
      <c r="H655" t="str">
        <f>"12"</f>
        <v>12</v>
      </c>
      <c r="I655" t="s">
        <v>1331</v>
      </c>
      <c r="J655">
        <v>158.78299999999999</v>
      </c>
      <c r="K655">
        <v>0</v>
      </c>
      <c r="L655" t="s">
        <v>28</v>
      </c>
      <c r="M655" t="s">
        <v>2560</v>
      </c>
      <c r="N655">
        <v>1</v>
      </c>
      <c r="O655" t="str">
        <f>"723"</f>
        <v>723</v>
      </c>
      <c r="P655" t="s">
        <v>2489</v>
      </c>
      <c r="Q655" t="s">
        <v>1331</v>
      </c>
      <c r="R655" t="s">
        <v>31</v>
      </c>
      <c r="S655" t="s">
        <v>28</v>
      </c>
      <c r="T655" t="str">
        <f>"85504805"</f>
        <v>85504805</v>
      </c>
      <c r="U655" t="s">
        <v>2461</v>
      </c>
      <c r="V655" t="s">
        <v>2462</v>
      </c>
    </row>
    <row r="656" spans="1:22" x14ac:dyDescent="0.25">
      <c r="A656" t="str">
        <f t="shared" si="91"/>
        <v>10807</v>
      </c>
      <c r="B656" t="s">
        <v>2438</v>
      </c>
      <c r="C656" t="s">
        <v>2439</v>
      </c>
      <c r="D656" t="s">
        <v>2561</v>
      </c>
      <c r="E656" t="s">
        <v>25</v>
      </c>
      <c r="F656" t="s">
        <v>26</v>
      </c>
      <c r="G656" t="str">
        <f t="shared" si="88"/>
        <v>37</v>
      </c>
      <c r="H656" t="str">
        <f>"12"</f>
        <v>12</v>
      </c>
      <c r="I656" t="s">
        <v>1331</v>
      </c>
      <c r="J656">
        <v>231.06</v>
      </c>
      <c r="K656">
        <v>0</v>
      </c>
      <c r="L656" t="s">
        <v>28</v>
      </c>
      <c r="M656" t="s">
        <v>2562</v>
      </c>
      <c r="N656">
        <v>1</v>
      </c>
      <c r="O656" t="str">
        <f>"723"</f>
        <v>723</v>
      </c>
      <c r="P656" t="s">
        <v>2489</v>
      </c>
      <c r="Q656" t="s">
        <v>1331</v>
      </c>
      <c r="R656" t="s">
        <v>31</v>
      </c>
      <c r="S656" t="s">
        <v>28</v>
      </c>
      <c r="T656" t="str">
        <f>"85504805"</f>
        <v>85504805</v>
      </c>
      <c r="U656" t="s">
        <v>2461</v>
      </c>
      <c r="V656" t="s">
        <v>2462</v>
      </c>
    </row>
    <row r="657" spans="1:22" x14ac:dyDescent="0.25">
      <c r="A657" t="str">
        <f t="shared" si="91"/>
        <v>10807</v>
      </c>
      <c r="B657" t="s">
        <v>2438</v>
      </c>
      <c r="C657" t="s">
        <v>2439</v>
      </c>
      <c r="D657" t="s">
        <v>2563</v>
      </c>
      <c r="E657" t="s">
        <v>25</v>
      </c>
      <c r="F657" t="s">
        <v>26</v>
      </c>
      <c r="G657" t="str">
        <f t="shared" si="88"/>
        <v>37</v>
      </c>
      <c r="H657" t="str">
        <f>"12"</f>
        <v>12</v>
      </c>
      <c r="I657" t="s">
        <v>1331</v>
      </c>
      <c r="J657">
        <v>210.4</v>
      </c>
      <c r="K657">
        <v>0</v>
      </c>
      <c r="L657" t="s">
        <v>28</v>
      </c>
      <c r="M657" t="s">
        <v>2564</v>
      </c>
      <c r="N657">
        <v>1</v>
      </c>
      <c r="O657" t="str">
        <f>"723"</f>
        <v>723</v>
      </c>
      <c r="P657" t="s">
        <v>2489</v>
      </c>
      <c r="Q657" t="s">
        <v>1331</v>
      </c>
      <c r="R657" t="s">
        <v>31</v>
      </c>
      <c r="S657" t="s">
        <v>28</v>
      </c>
      <c r="T657" t="str">
        <f>"85504805"</f>
        <v>85504805</v>
      </c>
      <c r="U657" t="s">
        <v>2461</v>
      </c>
      <c r="V657" t="s">
        <v>2462</v>
      </c>
    </row>
    <row r="658" spans="1:22" x14ac:dyDescent="0.25">
      <c r="A658" t="str">
        <f t="shared" si="91"/>
        <v>10807</v>
      </c>
      <c r="B658" t="s">
        <v>2438</v>
      </c>
      <c r="C658" t="s">
        <v>2439</v>
      </c>
      <c r="D658" t="s">
        <v>2565</v>
      </c>
      <c r="E658" t="s">
        <v>25</v>
      </c>
      <c r="F658" t="s">
        <v>26</v>
      </c>
      <c r="G658" t="str">
        <f t="shared" si="88"/>
        <v>37</v>
      </c>
      <c r="H658" t="str">
        <f t="shared" ref="H658:H671" si="94">"41"</f>
        <v>41</v>
      </c>
      <c r="I658" t="s">
        <v>1027</v>
      </c>
      <c r="J658">
        <v>2</v>
      </c>
      <c r="K658">
        <v>0</v>
      </c>
      <c r="L658" t="s">
        <v>28</v>
      </c>
      <c r="M658" t="s">
        <v>2566</v>
      </c>
      <c r="N658">
        <v>1</v>
      </c>
      <c r="O658" t="str">
        <f t="shared" ref="O658:O671" si="95">"721"</f>
        <v>721</v>
      </c>
      <c r="P658" t="s">
        <v>2544</v>
      </c>
      <c r="Q658" t="s">
        <v>1027</v>
      </c>
      <c r="R658" t="s">
        <v>31</v>
      </c>
      <c r="S658" t="s">
        <v>28</v>
      </c>
      <c r="U658" t="s">
        <v>1274</v>
      </c>
      <c r="V658" t="s">
        <v>1097</v>
      </c>
    </row>
    <row r="659" spans="1:22" x14ac:dyDescent="0.25">
      <c r="A659" t="str">
        <f t="shared" si="91"/>
        <v>10807</v>
      </c>
      <c r="B659" t="s">
        <v>2438</v>
      </c>
      <c r="C659" t="s">
        <v>2439</v>
      </c>
      <c r="D659" t="s">
        <v>2565</v>
      </c>
      <c r="E659" t="s">
        <v>25</v>
      </c>
      <c r="F659" t="s">
        <v>26</v>
      </c>
      <c r="G659" t="str">
        <f t="shared" ref="G659:G689" si="96">"37"</f>
        <v>37</v>
      </c>
      <c r="H659" t="str">
        <f t="shared" si="94"/>
        <v>41</v>
      </c>
      <c r="I659" t="s">
        <v>1027</v>
      </c>
      <c r="J659">
        <v>2</v>
      </c>
      <c r="K659">
        <v>0</v>
      </c>
      <c r="L659" t="s">
        <v>28</v>
      </c>
      <c r="M659" t="s">
        <v>2567</v>
      </c>
      <c r="N659">
        <v>1</v>
      </c>
      <c r="O659" t="str">
        <f t="shared" si="95"/>
        <v>721</v>
      </c>
      <c r="P659" t="s">
        <v>2544</v>
      </c>
      <c r="Q659" t="s">
        <v>1027</v>
      </c>
      <c r="R659" t="s">
        <v>31</v>
      </c>
      <c r="S659" t="s">
        <v>28</v>
      </c>
      <c r="U659" t="s">
        <v>1274</v>
      </c>
      <c r="V659" t="s">
        <v>1097</v>
      </c>
    </row>
    <row r="660" spans="1:22" x14ac:dyDescent="0.25">
      <c r="A660" t="str">
        <f t="shared" si="91"/>
        <v>10807</v>
      </c>
      <c r="B660" t="s">
        <v>2438</v>
      </c>
      <c r="C660" t="s">
        <v>2439</v>
      </c>
      <c r="D660" t="s">
        <v>2565</v>
      </c>
      <c r="E660" t="s">
        <v>25</v>
      </c>
      <c r="F660" t="s">
        <v>26</v>
      </c>
      <c r="G660" t="str">
        <f t="shared" si="96"/>
        <v>37</v>
      </c>
      <c r="H660" t="str">
        <f t="shared" si="94"/>
        <v>41</v>
      </c>
      <c r="I660" t="s">
        <v>1027</v>
      </c>
      <c r="J660">
        <v>2</v>
      </c>
      <c r="K660">
        <v>0</v>
      </c>
      <c r="L660" t="s">
        <v>28</v>
      </c>
      <c r="M660" t="s">
        <v>2568</v>
      </c>
      <c r="N660">
        <v>1</v>
      </c>
      <c r="O660" t="str">
        <f t="shared" si="95"/>
        <v>721</v>
      </c>
      <c r="P660" t="s">
        <v>2544</v>
      </c>
      <c r="Q660" t="s">
        <v>1027</v>
      </c>
      <c r="R660" t="s">
        <v>31</v>
      </c>
      <c r="S660" t="s">
        <v>28</v>
      </c>
      <c r="U660" t="s">
        <v>1274</v>
      </c>
      <c r="V660" t="s">
        <v>1097</v>
      </c>
    </row>
    <row r="661" spans="1:22" x14ac:dyDescent="0.25">
      <c r="A661" t="str">
        <f t="shared" si="91"/>
        <v>10807</v>
      </c>
      <c r="B661" t="s">
        <v>2438</v>
      </c>
      <c r="C661" t="s">
        <v>2439</v>
      </c>
      <c r="D661" t="s">
        <v>2565</v>
      </c>
      <c r="E661" t="s">
        <v>25</v>
      </c>
      <c r="F661" t="s">
        <v>26</v>
      </c>
      <c r="G661" t="str">
        <f t="shared" si="96"/>
        <v>37</v>
      </c>
      <c r="H661" t="str">
        <f t="shared" si="94"/>
        <v>41</v>
      </c>
      <c r="I661" t="s">
        <v>1027</v>
      </c>
      <c r="J661">
        <v>2</v>
      </c>
      <c r="K661">
        <v>0</v>
      </c>
      <c r="L661" t="s">
        <v>28</v>
      </c>
      <c r="M661" t="s">
        <v>2569</v>
      </c>
      <c r="N661">
        <v>1</v>
      </c>
      <c r="O661" t="str">
        <f t="shared" si="95"/>
        <v>721</v>
      </c>
      <c r="P661" t="s">
        <v>2544</v>
      </c>
      <c r="Q661" t="s">
        <v>1027</v>
      </c>
      <c r="R661" t="s">
        <v>31</v>
      </c>
      <c r="S661" t="s">
        <v>28</v>
      </c>
      <c r="U661" t="s">
        <v>1274</v>
      </c>
      <c r="V661" t="s">
        <v>1097</v>
      </c>
    </row>
    <row r="662" spans="1:22" x14ac:dyDescent="0.25">
      <c r="A662" t="str">
        <f t="shared" si="91"/>
        <v>10807</v>
      </c>
      <c r="B662" t="s">
        <v>2438</v>
      </c>
      <c r="C662" t="s">
        <v>2439</v>
      </c>
      <c r="D662" t="s">
        <v>2565</v>
      </c>
      <c r="E662" t="s">
        <v>25</v>
      </c>
      <c r="F662" t="s">
        <v>26</v>
      </c>
      <c r="G662" t="str">
        <f t="shared" si="96"/>
        <v>37</v>
      </c>
      <c r="H662" t="str">
        <f t="shared" si="94"/>
        <v>41</v>
      </c>
      <c r="I662" t="s">
        <v>1027</v>
      </c>
      <c r="J662">
        <v>2</v>
      </c>
      <c r="K662">
        <v>0</v>
      </c>
      <c r="L662" t="s">
        <v>28</v>
      </c>
      <c r="M662" t="s">
        <v>2570</v>
      </c>
      <c r="N662">
        <v>1</v>
      </c>
      <c r="O662" t="str">
        <f t="shared" si="95"/>
        <v>721</v>
      </c>
      <c r="P662" t="s">
        <v>2544</v>
      </c>
      <c r="Q662" t="s">
        <v>1027</v>
      </c>
      <c r="R662" t="s">
        <v>31</v>
      </c>
      <c r="S662" t="s">
        <v>28</v>
      </c>
      <c r="U662" t="s">
        <v>1274</v>
      </c>
      <c r="V662" t="s">
        <v>1097</v>
      </c>
    </row>
    <row r="663" spans="1:22" x14ac:dyDescent="0.25">
      <c r="A663" t="str">
        <f t="shared" si="91"/>
        <v>10807</v>
      </c>
      <c r="B663" t="s">
        <v>2438</v>
      </c>
      <c r="C663" t="s">
        <v>2439</v>
      </c>
      <c r="D663" t="s">
        <v>2565</v>
      </c>
      <c r="E663" t="s">
        <v>25</v>
      </c>
      <c r="F663" t="s">
        <v>26</v>
      </c>
      <c r="G663" t="str">
        <f t="shared" si="96"/>
        <v>37</v>
      </c>
      <c r="H663" t="str">
        <f t="shared" si="94"/>
        <v>41</v>
      </c>
      <c r="I663" t="s">
        <v>1027</v>
      </c>
      <c r="J663">
        <v>5</v>
      </c>
      <c r="K663">
        <v>0</v>
      </c>
      <c r="L663" t="s">
        <v>28</v>
      </c>
      <c r="M663" t="s">
        <v>2571</v>
      </c>
      <c r="N663">
        <v>1</v>
      </c>
      <c r="O663" t="str">
        <f t="shared" si="95"/>
        <v>721</v>
      </c>
      <c r="P663" t="s">
        <v>2544</v>
      </c>
      <c r="Q663" t="s">
        <v>1027</v>
      </c>
      <c r="R663" t="s">
        <v>31</v>
      </c>
      <c r="S663" t="s">
        <v>28</v>
      </c>
      <c r="U663" t="s">
        <v>1274</v>
      </c>
      <c r="V663" t="s">
        <v>1097</v>
      </c>
    </row>
    <row r="664" spans="1:22" x14ac:dyDescent="0.25">
      <c r="A664" t="str">
        <f t="shared" si="91"/>
        <v>10807</v>
      </c>
      <c r="B664" t="s">
        <v>2438</v>
      </c>
      <c r="C664" t="s">
        <v>2439</v>
      </c>
      <c r="D664" t="s">
        <v>2565</v>
      </c>
      <c r="E664" t="s">
        <v>25</v>
      </c>
      <c r="F664" t="s">
        <v>26</v>
      </c>
      <c r="G664" t="str">
        <f t="shared" si="96"/>
        <v>37</v>
      </c>
      <c r="H664" t="str">
        <f t="shared" si="94"/>
        <v>41</v>
      </c>
      <c r="I664" t="s">
        <v>1027</v>
      </c>
      <c r="J664">
        <v>2</v>
      </c>
      <c r="K664">
        <v>0</v>
      </c>
      <c r="L664" t="s">
        <v>28</v>
      </c>
      <c r="M664" t="s">
        <v>2572</v>
      </c>
      <c r="N664">
        <v>1</v>
      </c>
      <c r="O664" t="str">
        <f t="shared" si="95"/>
        <v>721</v>
      </c>
      <c r="P664" t="s">
        <v>2544</v>
      </c>
      <c r="Q664" t="s">
        <v>1027</v>
      </c>
      <c r="R664" t="s">
        <v>31</v>
      </c>
      <c r="S664" t="s">
        <v>28</v>
      </c>
      <c r="U664" t="s">
        <v>1274</v>
      </c>
      <c r="V664" t="s">
        <v>1097</v>
      </c>
    </row>
    <row r="665" spans="1:22" x14ac:dyDescent="0.25">
      <c r="A665" t="str">
        <f t="shared" si="91"/>
        <v>10807</v>
      </c>
      <c r="B665" t="s">
        <v>2438</v>
      </c>
      <c r="C665" t="s">
        <v>2439</v>
      </c>
      <c r="D665" t="s">
        <v>2565</v>
      </c>
      <c r="E665" t="s">
        <v>25</v>
      </c>
      <c r="F665" t="s">
        <v>26</v>
      </c>
      <c r="G665" t="str">
        <f t="shared" si="96"/>
        <v>37</v>
      </c>
      <c r="H665" t="str">
        <f t="shared" si="94"/>
        <v>41</v>
      </c>
      <c r="I665" t="s">
        <v>1027</v>
      </c>
      <c r="J665">
        <v>2</v>
      </c>
      <c r="K665">
        <v>0</v>
      </c>
      <c r="L665" t="s">
        <v>28</v>
      </c>
      <c r="M665" t="s">
        <v>2573</v>
      </c>
      <c r="N665">
        <v>1</v>
      </c>
      <c r="O665" t="str">
        <f t="shared" si="95"/>
        <v>721</v>
      </c>
      <c r="P665" t="s">
        <v>2544</v>
      </c>
      <c r="Q665" t="s">
        <v>1027</v>
      </c>
      <c r="R665" t="s">
        <v>31</v>
      </c>
      <c r="S665" t="s">
        <v>28</v>
      </c>
      <c r="U665" t="s">
        <v>1274</v>
      </c>
      <c r="V665" t="s">
        <v>1097</v>
      </c>
    </row>
    <row r="666" spans="1:22" x14ac:dyDescent="0.25">
      <c r="A666" t="str">
        <f t="shared" si="91"/>
        <v>10807</v>
      </c>
      <c r="B666" t="s">
        <v>2438</v>
      </c>
      <c r="C666" t="s">
        <v>2439</v>
      </c>
      <c r="D666" t="s">
        <v>2565</v>
      </c>
      <c r="E666" t="s">
        <v>25</v>
      </c>
      <c r="F666" t="s">
        <v>26</v>
      </c>
      <c r="G666" t="str">
        <f t="shared" si="96"/>
        <v>37</v>
      </c>
      <c r="H666" t="str">
        <f t="shared" si="94"/>
        <v>41</v>
      </c>
      <c r="I666" t="s">
        <v>1027</v>
      </c>
      <c r="J666">
        <v>2</v>
      </c>
      <c r="K666">
        <v>0</v>
      </c>
      <c r="L666" t="s">
        <v>28</v>
      </c>
      <c r="M666" t="s">
        <v>2574</v>
      </c>
      <c r="N666">
        <v>1</v>
      </c>
      <c r="O666" t="str">
        <f t="shared" si="95"/>
        <v>721</v>
      </c>
      <c r="P666" t="s">
        <v>2544</v>
      </c>
      <c r="Q666" t="s">
        <v>1027</v>
      </c>
      <c r="R666" t="s">
        <v>31</v>
      </c>
      <c r="S666" t="s">
        <v>28</v>
      </c>
      <c r="U666" t="s">
        <v>1274</v>
      </c>
      <c r="V666" t="s">
        <v>1097</v>
      </c>
    </row>
    <row r="667" spans="1:22" x14ac:dyDescent="0.25">
      <c r="A667" t="str">
        <f t="shared" si="91"/>
        <v>10807</v>
      </c>
      <c r="B667" t="s">
        <v>2438</v>
      </c>
      <c r="C667" t="s">
        <v>2439</v>
      </c>
      <c r="D667" t="s">
        <v>2565</v>
      </c>
      <c r="E667" t="s">
        <v>25</v>
      </c>
      <c r="F667" t="s">
        <v>26</v>
      </c>
      <c r="G667" t="str">
        <f t="shared" si="96"/>
        <v>37</v>
      </c>
      <c r="H667" t="str">
        <f t="shared" si="94"/>
        <v>41</v>
      </c>
      <c r="I667" t="s">
        <v>1027</v>
      </c>
      <c r="J667">
        <v>2</v>
      </c>
      <c r="K667">
        <v>0</v>
      </c>
      <c r="L667" t="s">
        <v>28</v>
      </c>
      <c r="M667" t="s">
        <v>2575</v>
      </c>
      <c r="N667">
        <v>1</v>
      </c>
      <c r="O667" t="str">
        <f t="shared" si="95"/>
        <v>721</v>
      </c>
      <c r="P667" t="s">
        <v>2544</v>
      </c>
      <c r="Q667" t="s">
        <v>1027</v>
      </c>
      <c r="R667" t="s">
        <v>31</v>
      </c>
      <c r="S667" t="s">
        <v>28</v>
      </c>
      <c r="U667" t="s">
        <v>1274</v>
      </c>
      <c r="V667" t="s">
        <v>1097</v>
      </c>
    </row>
    <row r="668" spans="1:22" x14ac:dyDescent="0.25">
      <c r="A668" t="str">
        <f t="shared" si="91"/>
        <v>10807</v>
      </c>
      <c r="B668" t="s">
        <v>2438</v>
      </c>
      <c r="C668" t="s">
        <v>2439</v>
      </c>
      <c r="D668" t="s">
        <v>2565</v>
      </c>
      <c r="E668" t="s">
        <v>25</v>
      </c>
      <c r="F668" t="s">
        <v>26</v>
      </c>
      <c r="G668" t="str">
        <f t="shared" si="96"/>
        <v>37</v>
      </c>
      <c r="H668" t="str">
        <f t="shared" si="94"/>
        <v>41</v>
      </c>
      <c r="I668" t="s">
        <v>1027</v>
      </c>
      <c r="J668">
        <v>2</v>
      </c>
      <c r="K668">
        <v>0</v>
      </c>
      <c r="L668" t="s">
        <v>28</v>
      </c>
      <c r="M668" t="s">
        <v>2576</v>
      </c>
      <c r="N668">
        <v>1</v>
      </c>
      <c r="O668" t="str">
        <f t="shared" si="95"/>
        <v>721</v>
      </c>
      <c r="P668" t="s">
        <v>2544</v>
      </c>
      <c r="Q668" t="s">
        <v>1027</v>
      </c>
      <c r="R668" t="s">
        <v>31</v>
      </c>
      <c r="S668" t="s">
        <v>28</v>
      </c>
      <c r="U668" t="s">
        <v>1274</v>
      </c>
      <c r="V668" t="s">
        <v>1097</v>
      </c>
    </row>
    <row r="669" spans="1:22" x14ac:dyDescent="0.25">
      <c r="A669" t="str">
        <f t="shared" si="91"/>
        <v>10807</v>
      </c>
      <c r="B669" t="s">
        <v>2438</v>
      </c>
      <c r="C669" t="s">
        <v>2439</v>
      </c>
      <c r="D669" t="s">
        <v>2565</v>
      </c>
      <c r="E669" t="s">
        <v>25</v>
      </c>
      <c r="F669" t="s">
        <v>26</v>
      </c>
      <c r="G669" t="str">
        <f t="shared" si="96"/>
        <v>37</v>
      </c>
      <c r="H669" t="str">
        <f t="shared" si="94"/>
        <v>41</v>
      </c>
      <c r="I669" t="s">
        <v>1027</v>
      </c>
      <c r="J669">
        <v>2</v>
      </c>
      <c r="K669">
        <v>0</v>
      </c>
      <c r="L669" t="s">
        <v>28</v>
      </c>
      <c r="M669" t="s">
        <v>2577</v>
      </c>
      <c r="N669">
        <v>1</v>
      </c>
      <c r="O669" t="str">
        <f t="shared" si="95"/>
        <v>721</v>
      </c>
      <c r="P669" t="s">
        <v>2544</v>
      </c>
      <c r="Q669" t="s">
        <v>1027</v>
      </c>
      <c r="R669" t="s">
        <v>31</v>
      </c>
      <c r="S669" t="s">
        <v>28</v>
      </c>
      <c r="U669" t="s">
        <v>1274</v>
      </c>
      <c r="V669" t="s">
        <v>1097</v>
      </c>
    </row>
    <row r="670" spans="1:22" x14ac:dyDescent="0.25">
      <c r="A670" t="str">
        <f t="shared" si="91"/>
        <v>10807</v>
      </c>
      <c r="B670" t="s">
        <v>2438</v>
      </c>
      <c r="C670" t="s">
        <v>2439</v>
      </c>
      <c r="D670" t="s">
        <v>2565</v>
      </c>
      <c r="E670" t="s">
        <v>25</v>
      </c>
      <c r="F670" t="s">
        <v>26</v>
      </c>
      <c r="G670" t="str">
        <f t="shared" si="96"/>
        <v>37</v>
      </c>
      <c r="H670" t="str">
        <f t="shared" si="94"/>
        <v>41</v>
      </c>
      <c r="I670" t="s">
        <v>1027</v>
      </c>
      <c r="J670">
        <v>2</v>
      </c>
      <c r="K670">
        <v>0</v>
      </c>
      <c r="L670" t="s">
        <v>28</v>
      </c>
      <c r="M670" t="s">
        <v>2578</v>
      </c>
      <c r="N670">
        <v>1</v>
      </c>
      <c r="O670" t="str">
        <f t="shared" si="95"/>
        <v>721</v>
      </c>
      <c r="P670" t="s">
        <v>2544</v>
      </c>
      <c r="Q670" t="s">
        <v>1027</v>
      </c>
      <c r="R670" t="s">
        <v>31</v>
      </c>
      <c r="S670" t="s">
        <v>28</v>
      </c>
      <c r="U670" t="s">
        <v>1274</v>
      </c>
      <c r="V670" t="s">
        <v>1097</v>
      </c>
    </row>
    <row r="671" spans="1:22" x14ac:dyDescent="0.25">
      <c r="A671" t="str">
        <f t="shared" si="91"/>
        <v>10807</v>
      </c>
      <c r="B671" t="s">
        <v>2438</v>
      </c>
      <c r="C671" t="s">
        <v>2439</v>
      </c>
      <c r="D671" t="s">
        <v>2565</v>
      </c>
      <c r="E671" t="s">
        <v>25</v>
      </c>
      <c r="F671" t="s">
        <v>26</v>
      </c>
      <c r="G671" t="str">
        <f t="shared" si="96"/>
        <v>37</v>
      </c>
      <c r="H671" t="str">
        <f t="shared" si="94"/>
        <v>41</v>
      </c>
      <c r="I671" t="s">
        <v>1027</v>
      </c>
      <c r="J671">
        <v>5</v>
      </c>
      <c r="K671">
        <v>0</v>
      </c>
      <c r="L671" t="s">
        <v>28</v>
      </c>
      <c r="M671" t="s">
        <v>2579</v>
      </c>
      <c r="N671">
        <v>1</v>
      </c>
      <c r="O671" t="str">
        <f t="shared" si="95"/>
        <v>721</v>
      </c>
      <c r="P671" t="s">
        <v>2544</v>
      </c>
      <c r="Q671" t="s">
        <v>1027</v>
      </c>
      <c r="R671" t="s">
        <v>31</v>
      </c>
      <c r="S671" t="s">
        <v>28</v>
      </c>
      <c r="U671" t="s">
        <v>1274</v>
      </c>
      <c r="V671" t="s">
        <v>1097</v>
      </c>
    </row>
    <row r="672" spans="1:22" x14ac:dyDescent="0.25">
      <c r="A672" t="str">
        <f t="shared" si="91"/>
        <v>10807</v>
      </c>
      <c r="B672" t="s">
        <v>2438</v>
      </c>
      <c r="C672" t="s">
        <v>2439</v>
      </c>
      <c r="D672" t="s">
        <v>2580</v>
      </c>
      <c r="E672" t="s">
        <v>25</v>
      </c>
      <c r="F672" t="s">
        <v>26</v>
      </c>
      <c r="G672" t="str">
        <f t="shared" si="96"/>
        <v>37</v>
      </c>
      <c r="H672" t="str">
        <f t="shared" ref="H672:H677" si="97">"12"</f>
        <v>12</v>
      </c>
      <c r="I672" t="s">
        <v>1331</v>
      </c>
      <c r="J672">
        <v>80</v>
      </c>
      <c r="K672">
        <v>0</v>
      </c>
      <c r="L672" t="s">
        <v>28</v>
      </c>
      <c r="M672" t="s">
        <v>2581</v>
      </c>
      <c r="N672">
        <v>1</v>
      </c>
      <c r="O672" t="str">
        <f t="shared" ref="O672:O677" si="98">"723"</f>
        <v>723</v>
      </c>
      <c r="P672" t="s">
        <v>2442</v>
      </c>
      <c r="Q672" t="s">
        <v>1331</v>
      </c>
      <c r="R672" t="s">
        <v>31</v>
      </c>
      <c r="S672" t="s">
        <v>28</v>
      </c>
      <c r="T672" t="str">
        <f>"08261920"</f>
        <v>08261920</v>
      </c>
      <c r="U672" t="s">
        <v>2443</v>
      </c>
      <c r="V672" t="s">
        <v>2444</v>
      </c>
    </row>
    <row r="673" spans="1:22" x14ac:dyDescent="0.25">
      <c r="A673" t="str">
        <f t="shared" si="91"/>
        <v>10807</v>
      </c>
      <c r="B673" t="s">
        <v>2438</v>
      </c>
      <c r="C673" t="s">
        <v>2439</v>
      </c>
      <c r="D673" t="s">
        <v>2582</v>
      </c>
      <c r="E673" t="s">
        <v>25</v>
      </c>
      <c r="F673" t="s">
        <v>26</v>
      </c>
      <c r="G673" t="str">
        <f t="shared" si="96"/>
        <v>37</v>
      </c>
      <c r="H673" t="str">
        <f t="shared" si="97"/>
        <v>12</v>
      </c>
      <c r="I673" t="s">
        <v>1331</v>
      </c>
      <c r="J673">
        <v>94.834999999999994</v>
      </c>
      <c r="K673">
        <v>0</v>
      </c>
      <c r="L673" t="s">
        <v>28</v>
      </c>
      <c r="M673" t="s">
        <v>2583</v>
      </c>
      <c r="N673">
        <v>1</v>
      </c>
      <c r="O673" t="str">
        <f t="shared" si="98"/>
        <v>723</v>
      </c>
      <c r="P673" t="s">
        <v>2442</v>
      </c>
      <c r="Q673" t="s">
        <v>1331</v>
      </c>
      <c r="R673" t="s">
        <v>31</v>
      </c>
      <c r="S673" t="s">
        <v>28</v>
      </c>
      <c r="T673" t="str">
        <f>"08261920"</f>
        <v>08261920</v>
      </c>
      <c r="U673" t="s">
        <v>2443</v>
      </c>
      <c r="V673" t="s">
        <v>2444</v>
      </c>
    </row>
    <row r="674" spans="1:22" x14ac:dyDescent="0.25">
      <c r="A674" t="str">
        <f t="shared" si="91"/>
        <v>10807</v>
      </c>
      <c r="B674" t="s">
        <v>2438</v>
      </c>
      <c r="C674" t="s">
        <v>2439</v>
      </c>
      <c r="D674" t="s">
        <v>2584</v>
      </c>
      <c r="E674" t="s">
        <v>25</v>
      </c>
      <c r="F674" t="s">
        <v>26</v>
      </c>
      <c r="G674" t="str">
        <f t="shared" si="96"/>
        <v>37</v>
      </c>
      <c r="H674" t="str">
        <f t="shared" si="97"/>
        <v>12</v>
      </c>
      <c r="I674" t="s">
        <v>1331</v>
      </c>
      <c r="J674">
        <v>80</v>
      </c>
      <c r="K674">
        <v>0</v>
      </c>
      <c r="L674" t="s">
        <v>28</v>
      </c>
      <c r="M674" t="s">
        <v>2585</v>
      </c>
      <c r="N674">
        <v>1</v>
      </c>
      <c r="O674" t="str">
        <f t="shared" si="98"/>
        <v>723</v>
      </c>
      <c r="P674" t="s">
        <v>2442</v>
      </c>
      <c r="Q674" t="s">
        <v>1331</v>
      </c>
      <c r="R674" t="s">
        <v>31</v>
      </c>
      <c r="S674" t="s">
        <v>28</v>
      </c>
      <c r="T674" t="str">
        <f>"08261920"</f>
        <v>08261920</v>
      </c>
      <c r="U674" t="s">
        <v>2443</v>
      </c>
      <c r="V674" t="s">
        <v>2444</v>
      </c>
    </row>
    <row r="675" spans="1:22" x14ac:dyDescent="0.25">
      <c r="A675" t="str">
        <f t="shared" si="91"/>
        <v>10807</v>
      </c>
      <c r="B675" t="s">
        <v>2438</v>
      </c>
      <c r="C675" t="s">
        <v>2439</v>
      </c>
      <c r="D675" t="s">
        <v>2586</v>
      </c>
      <c r="E675" t="s">
        <v>25</v>
      </c>
      <c r="F675" t="s">
        <v>26</v>
      </c>
      <c r="G675" t="str">
        <f t="shared" si="96"/>
        <v>37</v>
      </c>
      <c r="H675" t="str">
        <f t="shared" si="97"/>
        <v>12</v>
      </c>
      <c r="I675" t="s">
        <v>1331</v>
      </c>
      <c r="J675">
        <v>209</v>
      </c>
      <c r="K675">
        <v>0</v>
      </c>
      <c r="L675" t="s">
        <v>28</v>
      </c>
      <c r="M675" t="s">
        <v>2587</v>
      </c>
      <c r="N675">
        <v>1</v>
      </c>
      <c r="O675" t="str">
        <f t="shared" si="98"/>
        <v>723</v>
      </c>
      <c r="P675" t="s">
        <v>2489</v>
      </c>
      <c r="Q675" t="s">
        <v>1331</v>
      </c>
      <c r="R675" t="s">
        <v>31</v>
      </c>
      <c r="S675" t="s">
        <v>28</v>
      </c>
      <c r="T675" t="str">
        <f>"85504805"</f>
        <v>85504805</v>
      </c>
      <c r="U675" t="s">
        <v>2461</v>
      </c>
      <c r="V675" t="s">
        <v>2462</v>
      </c>
    </row>
    <row r="676" spans="1:22" x14ac:dyDescent="0.25">
      <c r="A676" t="str">
        <f t="shared" si="91"/>
        <v>10807</v>
      </c>
      <c r="B676" t="s">
        <v>2438</v>
      </c>
      <c r="C676" t="s">
        <v>2439</v>
      </c>
      <c r="D676" t="s">
        <v>2588</v>
      </c>
      <c r="E676" t="s">
        <v>25</v>
      </c>
      <c r="F676" t="s">
        <v>26</v>
      </c>
      <c r="G676" t="str">
        <f t="shared" si="96"/>
        <v>37</v>
      </c>
      <c r="H676" t="str">
        <f t="shared" si="97"/>
        <v>12</v>
      </c>
      <c r="I676" t="s">
        <v>1331</v>
      </c>
      <c r="J676">
        <v>263.83999999999997</v>
      </c>
      <c r="K676">
        <v>0</v>
      </c>
      <c r="L676" t="s">
        <v>28</v>
      </c>
      <c r="M676" t="s">
        <v>2589</v>
      </c>
      <c r="N676">
        <v>1</v>
      </c>
      <c r="O676" t="str">
        <f t="shared" si="98"/>
        <v>723</v>
      </c>
      <c r="P676" t="s">
        <v>2489</v>
      </c>
      <c r="Q676" t="s">
        <v>1331</v>
      </c>
      <c r="R676" t="s">
        <v>31</v>
      </c>
      <c r="S676" t="s">
        <v>28</v>
      </c>
      <c r="T676" t="str">
        <f>"85504805"</f>
        <v>85504805</v>
      </c>
      <c r="U676" t="s">
        <v>2461</v>
      </c>
      <c r="V676" t="s">
        <v>2462</v>
      </c>
    </row>
    <row r="677" spans="1:22" x14ac:dyDescent="0.25">
      <c r="A677" t="str">
        <f t="shared" si="91"/>
        <v>10807</v>
      </c>
      <c r="B677" t="s">
        <v>2438</v>
      </c>
      <c r="C677" t="s">
        <v>2439</v>
      </c>
      <c r="D677" t="s">
        <v>2590</v>
      </c>
      <c r="E677" t="s">
        <v>25</v>
      </c>
      <c r="F677" t="s">
        <v>26</v>
      </c>
      <c r="G677" t="str">
        <f t="shared" si="96"/>
        <v>37</v>
      </c>
      <c r="H677" t="str">
        <f t="shared" si="97"/>
        <v>12</v>
      </c>
      <c r="I677" t="s">
        <v>1331</v>
      </c>
      <c r="J677">
        <v>297.89100000000002</v>
      </c>
      <c r="K677">
        <v>0</v>
      </c>
      <c r="L677" t="s">
        <v>28</v>
      </c>
      <c r="M677" t="s">
        <v>2591</v>
      </c>
      <c r="N677">
        <v>1</v>
      </c>
      <c r="O677" t="str">
        <f t="shared" si="98"/>
        <v>723</v>
      </c>
      <c r="P677" t="s">
        <v>2489</v>
      </c>
      <c r="Q677" t="s">
        <v>1331</v>
      </c>
      <c r="R677" t="s">
        <v>31</v>
      </c>
      <c r="S677" t="s">
        <v>28</v>
      </c>
      <c r="T677" t="str">
        <f>"85504805"</f>
        <v>85504805</v>
      </c>
      <c r="U677" t="s">
        <v>2461</v>
      </c>
      <c r="V677" t="s">
        <v>2462</v>
      </c>
    </row>
    <row r="678" spans="1:22" x14ac:dyDescent="0.25">
      <c r="A678" t="str">
        <f t="shared" si="91"/>
        <v>10807</v>
      </c>
      <c r="B678" t="s">
        <v>2438</v>
      </c>
      <c r="C678" t="s">
        <v>2439</v>
      </c>
      <c r="D678" t="s">
        <v>2592</v>
      </c>
      <c r="E678" t="s">
        <v>25</v>
      </c>
      <c r="F678" t="s">
        <v>26</v>
      </c>
      <c r="G678" t="str">
        <f t="shared" si="96"/>
        <v>37</v>
      </c>
      <c r="H678" t="str">
        <f t="shared" ref="H678:H683" si="99">"41"</f>
        <v>41</v>
      </c>
      <c r="I678" t="s">
        <v>1027</v>
      </c>
      <c r="J678">
        <v>2</v>
      </c>
      <c r="K678">
        <v>0</v>
      </c>
      <c r="L678" t="s">
        <v>28</v>
      </c>
      <c r="M678" t="s">
        <v>2593</v>
      </c>
      <c r="N678">
        <v>1</v>
      </c>
      <c r="O678" t="str">
        <f t="shared" ref="O678:O683" si="100">"721"</f>
        <v>721</v>
      </c>
      <c r="P678" t="s">
        <v>2544</v>
      </c>
      <c r="Q678" t="s">
        <v>1027</v>
      </c>
      <c r="R678" t="s">
        <v>31</v>
      </c>
      <c r="S678" t="s">
        <v>28</v>
      </c>
      <c r="U678" t="s">
        <v>1274</v>
      </c>
      <c r="V678" t="s">
        <v>1097</v>
      </c>
    </row>
    <row r="679" spans="1:22" x14ac:dyDescent="0.25">
      <c r="A679" t="str">
        <f t="shared" si="91"/>
        <v>10807</v>
      </c>
      <c r="B679" t="s">
        <v>2438</v>
      </c>
      <c r="C679" t="s">
        <v>2439</v>
      </c>
      <c r="D679" t="s">
        <v>2592</v>
      </c>
      <c r="E679" t="s">
        <v>25</v>
      </c>
      <c r="F679" t="s">
        <v>26</v>
      </c>
      <c r="G679" t="str">
        <f t="shared" si="96"/>
        <v>37</v>
      </c>
      <c r="H679" t="str">
        <f t="shared" si="99"/>
        <v>41</v>
      </c>
      <c r="I679" t="s">
        <v>1027</v>
      </c>
      <c r="J679">
        <v>2</v>
      </c>
      <c r="K679">
        <v>0</v>
      </c>
      <c r="L679" t="s">
        <v>28</v>
      </c>
      <c r="M679" t="s">
        <v>2594</v>
      </c>
      <c r="N679">
        <v>1</v>
      </c>
      <c r="O679" t="str">
        <f t="shared" si="100"/>
        <v>721</v>
      </c>
      <c r="P679" t="s">
        <v>2544</v>
      </c>
      <c r="Q679" t="s">
        <v>1027</v>
      </c>
      <c r="R679" t="s">
        <v>31</v>
      </c>
      <c r="S679" t="s">
        <v>28</v>
      </c>
      <c r="U679" t="s">
        <v>1274</v>
      </c>
      <c r="V679" t="s">
        <v>1097</v>
      </c>
    </row>
    <row r="680" spans="1:22" x14ac:dyDescent="0.25">
      <c r="A680" t="str">
        <f t="shared" si="91"/>
        <v>10807</v>
      </c>
      <c r="B680" t="s">
        <v>2438</v>
      </c>
      <c r="C680" t="s">
        <v>2439</v>
      </c>
      <c r="D680" t="s">
        <v>2592</v>
      </c>
      <c r="E680" t="s">
        <v>25</v>
      </c>
      <c r="F680" t="s">
        <v>26</v>
      </c>
      <c r="G680" t="str">
        <f t="shared" si="96"/>
        <v>37</v>
      </c>
      <c r="H680" t="str">
        <f t="shared" si="99"/>
        <v>41</v>
      </c>
      <c r="I680" t="s">
        <v>1027</v>
      </c>
      <c r="J680">
        <v>2</v>
      </c>
      <c r="K680">
        <v>0</v>
      </c>
      <c r="L680" t="s">
        <v>28</v>
      </c>
      <c r="M680" t="s">
        <v>2595</v>
      </c>
      <c r="N680">
        <v>1</v>
      </c>
      <c r="O680" t="str">
        <f t="shared" si="100"/>
        <v>721</v>
      </c>
      <c r="P680" t="s">
        <v>2544</v>
      </c>
      <c r="Q680" t="s">
        <v>1027</v>
      </c>
      <c r="R680" t="s">
        <v>31</v>
      </c>
      <c r="S680" t="s">
        <v>28</v>
      </c>
      <c r="U680" t="s">
        <v>1274</v>
      </c>
      <c r="V680" t="s">
        <v>1097</v>
      </c>
    </row>
    <row r="681" spans="1:22" x14ac:dyDescent="0.25">
      <c r="A681" t="str">
        <f t="shared" si="91"/>
        <v>10807</v>
      </c>
      <c r="B681" t="s">
        <v>2438</v>
      </c>
      <c r="C681" t="s">
        <v>2439</v>
      </c>
      <c r="D681" t="s">
        <v>2592</v>
      </c>
      <c r="E681" t="s">
        <v>25</v>
      </c>
      <c r="F681" t="s">
        <v>26</v>
      </c>
      <c r="G681" t="str">
        <f t="shared" si="96"/>
        <v>37</v>
      </c>
      <c r="H681" t="str">
        <f t="shared" si="99"/>
        <v>41</v>
      </c>
      <c r="I681" t="s">
        <v>1027</v>
      </c>
      <c r="J681">
        <v>2</v>
      </c>
      <c r="K681">
        <v>0</v>
      </c>
      <c r="L681" t="s">
        <v>28</v>
      </c>
      <c r="M681" t="s">
        <v>2596</v>
      </c>
      <c r="N681">
        <v>1</v>
      </c>
      <c r="O681" t="str">
        <f t="shared" si="100"/>
        <v>721</v>
      </c>
      <c r="P681" t="s">
        <v>2544</v>
      </c>
      <c r="Q681" t="s">
        <v>1027</v>
      </c>
      <c r="R681" t="s">
        <v>31</v>
      </c>
      <c r="S681" t="s">
        <v>28</v>
      </c>
      <c r="U681" t="s">
        <v>1274</v>
      </c>
      <c r="V681" t="s">
        <v>1097</v>
      </c>
    </row>
    <row r="682" spans="1:22" x14ac:dyDescent="0.25">
      <c r="A682" t="str">
        <f t="shared" si="91"/>
        <v>10807</v>
      </c>
      <c r="B682" t="s">
        <v>2438</v>
      </c>
      <c r="C682" t="s">
        <v>2439</v>
      </c>
      <c r="D682" t="s">
        <v>2592</v>
      </c>
      <c r="E682" t="s">
        <v>25</v>
      </c>
      <c r="F682" t="s">
        <v>26</v>
      </c>
      <c r="G682" t="str">
        <f t="shared" si="96"/>
        <v>37</v>
      </c>
      <c r="H682" t="str">
        <f t="shared" si="99"/>
        <v>41</v>
      </c>
      <c r="I682" t="s">
        <v>1027</v>
      </c>
      <c r="J682">
        <v>2</v>
      </c>
      <c r="K682">
        <v>0</v>
      </c>
      <c r="L682" t="s">
        <v>28</v>
      </c>
      <c r="M682" t="s">
        <v>2597</v>
      </c>
      <c r="N682">
        <v>1</v>
      </c>
      <c r="O682" t="str">
        <f t="shared" si="100"/>
        <v>721</v>
      </c>
      <c r="P682" t="s">
        <v>2544</v>
      </c>
      <c r="Q682" t="s">
        <v>1027</v>
      </c>
      <c r="R682" t="s">
        <v>31</v>
      </c>
      <c r="S682" t="s">
        <v>28</v>
      </c>
      <c r="U682" t="s">
        <v>1274</v>
      </c>
      <c r="V682" t="s">
        <v>1097</v>
      </c>
    </row>
    <row r="683" spans="1:22" x14ac:dyDescent="0.25">
      <c r="A683" t="str">
        <f t="shared" si="91"/>
        <v>10807</v>
      </c>
      <c r="B683" t="s">
        <v>2438</v>
      </c>
      <c r="C683" t="s">
        <v>2439</v>
      </c>
      <c r="D683" t="s">
        <v>2592</v>
      </c>
      <c r="E683" t="s">
        <v>25</v>
      </c>
      <c r="F683" t="s">
        <v>26</v>
      </c>
      <c r="G683" t="str">
        <f t="shared" si="96"/>
        <v>37</v>
      </c>
      <c r="H683" t="str">
        <f t="shared" si="99"/>
        <v>41</v>
      </c>
      <c r="I683" t="s">
        <v>1027</v>
      </c>
      <c r="J683">
        <v>2</v>
      </c>
      <c r="K683">
        <v>0</v>
      </c>
      <c r="L683" t="s">
        <v>28</v>
      </c>
      <c r="M683" t="s">
        <v>2598</v>
      </c>
      <c r="N683">
        <v>1</v>
      </c>
      <c r="O683" t="str">
        <f t="shared" si="100"/>
        <v>721</v>
      </c>
      <c r="P683" t="s">
        <v>2544</v>
      </c>
      <c r="Q683" t="s">
        <v>1027</v>
      </c>
      <c r="R683" t="s">
        <v>31</v>
      </c>
      <c r="S683" t="s">
        <v>28</v>
      </c>
      <c r="U683" t="s">
        <v>1274</v>
      </c>
      <c r="V683" t="s">
        <v>1097</v>
      </c>
    </row>
    <row r="684" spans="1:22" x14ac:dyDescent="0.25">
      <c r="A684" t="str">
        <f t="shared" si="91"/>
        <v>10807</v>
      </c>
      <c r="B684" t="s">
        <v>2438</v>
      </c>
      <c r="C684" t="s">
        <v>2439</v>
      </c>
      <c r="D684" t="s">
        <v>2599</v>
      </c>
      <c r="E684" t="s">
        <v>25</v>
      </c>
      <c r="F684" t="s">
        <v>26</v>
      </c>
      <c r="G684" t="str">
        <f t="shared" si="96"/>
        <v>37</v>
      </c>
      <c r="H684" t="str">
        <f>"12"</f>
        <v>12</v>
      </c>
      <c r="I684" t="s">
        <v>763</v>
      </c>
      <c r="J684">
        <v>460.54</v>
      </c>
      <c r="K684">
        <v>0</v>
      </c>
      <c r="L684" t="s">
        <v>28</v>
      </c>
      <c r="M684" t="s">
        <v>2600</v>
      </c>
      <c r="N684">
        <v>1</v>
      </c>
      <c r="O684" t="str">
        <f>"723"</f>
        <v>723</v>
      </c>
      <c r="P684" t="s">
        <v>2601</v>
      </c>
      <c r="Q684" t="s">
        <v>763</v>
      </c>
      <c r="R684" t="s">
        <v>31</v>
      </c>
      <c r="S684" t="s">
        <v>28</v>
      </c>
      <c r="T684" t="str">
        <f>"85504805"</f>
        <v>85504805</v>
      </c>
      <c r="U684" t="s">
        <v>2461</v>
      </c>
      <c r="V684" t="s">
        <v>2462</v>
      </c>
    </row>
    <row r="685" spans="1:22" x14ac:dyDescent="0.25">
      <c r="A685" t="str">
        <f t="shared" si="91"/>
        <v>10807</v>
      </c>
      <c r="B685" t="s">
        <v>2438</v>
      </c>
      <c r="C685" t="s">
        <v>2439</v>
      </c>
      <c r="D685" t="s">
        <v>2599</v>
      </c>
      <c r="E685" t="s">
        <v>25</v>
      </c>
      <c r="F685" t="s">
        <v>26</v>
      </c>
      <c r="G685" t="str">
        <f t="shared" si="96"/>
        <v>37</v>
      </c>
      <c r="H685" t="str">
        <f>"12"</f>
        <v>12</v>
      </c>
      <c r="I685" t="s">
        <v>2602</v>
      </c>
      <c r="J685">
        <v>508.29899999999998</v>
      </c>
      <c r="K685">
        <v>0</v>
      </c>
      <c r="L685" t="s">
        <v>28</v>
      </c>
      <c r="M685" t="s">
        <v>2603</v>
      </c>
      <c r="N685">
        <v>1</v>
      </c>
      <c r="O685" t="str">
        <f>"723"</f>
        <v>723</v>
      </c>
      <c r="P685" t="s">
        <v>2604</v>
      </c>
      <c r="Q685" t="s">
        <v>2602</v>
      </c>
      <c r="R685" t="s">
        <v>31</v>
      </c>
      <c r="S685" t="s">
        <v>28</v>
      </c>
      <c r="T685" t="str">
        <f>"85504805"</f>
        <v>85504805</v>
      </c>
      <c r="U685" t="s">
        <v>2461</v>
      </c>
      <c r="V685" t="s">
        <v>2462</v>
      </c>
    </row>
    <row r="686" spans="1:22" x14ac:dyDescent="0.25">
      <c r="A686" t="str">
        <f t="shared" si="91"/>
        <v>10807</v>
      </c>
      <c r="B686" t="s">
        <v>2438</v>
      </c>
      <c r="C686" t="s">
        <v>2439</v>
      </c>
      <c r="D686" t="s">
        <v>2605</v>
      </c>
      <c r="E686" t="s">
        <v>25</v>
      </c>
      <c r="F686" t="s">
        <v>26</v>
      </c>
      <c r="G686" t="str">
        <f t="shared" si="96"/>
        <v>37</v>
      </c>
      <c r="H686" t="str">
        <f>"12"</f>
        <v>12</v>
      </c>
      <c r="I686" t="s">
        <v>1331</v>
      </c>
      <c r="J686">
        <v>300</v>
      </c>
      <c r="K686">
        <v>0</v>
      </c>
      <c r="L686" t="s">
        <v>28</v>
      </c>
      <c r="M686" t="s">
        <v>2606</v>
      </c>
      <c r="N686">
        <v>1</v>
      </c>
      <c r="O686" t="str">
        <f>"723"</f>
        <v>723</v>
      </c>
      <c r="P686" t="s">
        <v>2489</v>
      </c>
      <c r="Q686" t="s">
        <v>1331</v>
      </c>
      <c r="R686" t="s">
        <v>31</v>
      </c>
      <c r="S686" t="s">
        <v>28</v>
      </c>
      <c r="T686" t="str">
        <f>"85504805"</f>
        <v>85504805</v>
      </c>
      <c r="U686" t="s">
        <v>2461</v>
      </c>
      <c r="V686" t="s">
        <v>2462</v>
      </c>
    </row>
    <row r="687" spans="1:22" x14ac:dyDescent="0.25">
      <c r="A687" t="str">
        <f t="shared" si="91"/>
        <v>10807</v>
      </c>
      <c r="B687" t="s">
        <v>2438</v>
      </c>
      <c r="C687" t="s">
        <v>2439</v>
      </c>
      <c r="D687" t="s">
        <v>2607</v>
      </c>
      <c r="E687" t="s">
        <v>25</v>
      </c>
      <c r="F687" t="s">
        <v>26</v>
      </c>
      <c r="G687" t="str">
        <f t="shared" si="96"/>
        <v>37</v>
      </c>
      <c r="H687" t="str">
        <f>"11"</f>
        <v>11</v>
      </c>
      <c r="I687" t="s">
        <v>1331</v>
      </c>
      <c r="J687">
        <v>15</v>
      </c>
      <c r="K687">
        <v>0</v>
      </c>
      <c r="L687" t="s">
        <v>28</v>
      </c>
      <c r="M687" t="s">
        <v>2608</v>
      </c>
      <c r="N687">
        <v>1</v>
      </c>
      <c r="O687" t="str">
        <f>"722"</f>
        <v>722</v>
      </c>
      <c r="P687" t="s">
        <v>2609</v>
      </c>
      <c r="Q687" t="s">
        <v>1331</v>
      </c>
      <c r="R687" t="s">
        <v>31</v>
      </c>
      <c r="S687" t="s">
        <v>28</v>
      </c>
      <c r="T687" t="str">
        <f>"57965502"</f>
        <v>57965502</v>
      </c>
      <c r="U687" t="s">
        <v>2610</v>
      </c>
      <c r="V687" t="s">
        <v>2611</v>
      </c>
    </row>
    <row r="688" spans="1:22" x14ac:dyDescent="0.25">
      <c r="A688" t="str">
        <f t="shared" si="91"/>
        <v>10807</v>
      </c>
      <c r="B688" t="s">
        <v>2438</v>
      </c>
      <c r="C688" t="s">
        <v>2439</v>
      </c>
      <c r="D688" t="s">
        <v>2612</v>
      </c>
      <c r="E688" t="s">
        <v>25</v>
      </c>
      <c r="F688" t="s">
        <v>26</v>
      </c>
      <c r="G688" t="str">
        <f t="shared" si="96"/>
        <v>37</v>
      </c>
      <c r="H688" t="str">
        <f>"11"</f>
        <v>11</v>
      </c>
      <c r="I688" t="s">
        <v>1331</v>
      </c>
      <c r="J688">
        <v>100</v>
      </c>
      <c r="K688">
        <v>0</v>
      </c>
      <c r="L688" t="s">
        <v>28</v>
      </c>
      <c r="M688" t="s">
        <v>2613</v>
      </c>
      <c r="N688">
        <v>1</v>
      </c>
      <c r="O688" t="str">
        <f>"722"</f>
        <v>722</v>
      </c>
      <c r="P688" t="s">
        <v>2614</v>
      </c>
      <c r="Q688" t="s">
        <v>1331</v>
      </c>
      <c r="R688" t="s">
        <v>31</v>
      </c>
      <c r="S688" t="s">
        <v>28</v>
      </c>
      <c r="T688" t="str">
        <f>"38452828"</f>
        <v>38452828</v>
      </c>
      <c r="U688" t="s">
        <v>2615</v>
      </c>
      <c r="V688" t="s">
        <v>2616</v>
      </c>
    </row>
    <row r="689" spans="1:22" x14ac:dyDescent="0.25">
      <c r="A689" t="str">
        <f t="shared" si="91"/>
        <v>10807</v>
      </c>
      <c r="B689" t="s">
        <v>2438</v>
      </c>
      <c r="C689" t="s">
        <v>2439</v>
      </c>
      <c r="D689" t="s">
        <v>2617</v>
      </c>
      <c r="E689" t="s">
        <v>25</v>
      </c>
      <c r="F689" t="s">
        <v>26</v>
      </c>
      <c r="G689" t="str">
        <f t="shared" si="96"/>
        <v>37</v>
      </c>
      <c r="H689" t="str">
        <f>"12"</f>
        <v>12</v>
      </c>
      <c r="I689" t="s">
        <v>1331</v>
      </c>
      <c r="J689">
        <v>15</v>
      </c>
      <c r="K689">
        <v>0</v>
      </c>
      <c r="L689" t="s">
        <v>28</v>
      </c>
      <c r="M689" t="s">
        <v>2618</v>
      </c>
      <c r="N689">
        <v>1</v>
      </c>
      <c r="O689" t="str">
        <f>"723"</f>
        <v>723</v>
      </c>
      <c r="P689" t="s">
        <v>2442</v>
      </c>
      <c r="Q689" t="s">
        <v>1331</v>
      </c>
      <c r="R689" t="s">
        <v>31</v>
      </c>
      <c r="S689" t="s">
        <v>28</v>
      </c>
      <c r="T689" t="str">
        <f>"08261920"</f>
        <v>08261920</v>
      </c>
      <c r="U689" t="s">
        <v>2443</v>
      </c>
      <c r="V689" t="s">
        <v>2444</v>
      </c>
    </row>
    <row r="690" spans="1:22" x14ac:dyDescent="0.25">
      <c r="A690" t="str">
        <f t="shared" si="91"/>
        <v>10807</v>
      </c>
      <c r="B690" t="s">
        <v>2438</v>
      </c>
      <c r="C690" t="s">
        <v>2439</v>
      </c>
      <c r="D690" t="s">
        <v>2619</v>
      </c>
      <c r="E690" t="s">
        <v>25</v>
      </c>
      <c r="F690" t="s">
        <v>26</v>
      </c>
      <c r="G690" t="str">
        <f t="shared" ref="G690:G710" si="101">"37"</f>
        <v>37</v>
      </c>
      <c r="H690" t="str">
        <f>"12"</f>
        <v>12</v>
      </c>
      <c r="I690" t="s">
        <v>1331</v>
      </c>
      <c r="J690">
        <v>140.28</v>
      </c>
      <c r="K690">
        <v>0</v>
      </c>
      <c r="L690" t="s">
        <v>28</v>
      </c>
      <c r="M690" t="s">
        <v>2620</v>
      </c>
      <c r="N690">
        <v>1</v>
      </c>
      <c r="O690" t="str">
        <f>"723"</f>
        <v>723</v>
      </c>
      <c r="P690" t="s">
        <v>2489</v>
      </c>
      <c r="Q690" t="s">
        <v>1331</v>
      </c>
      <c r="R690" t="s">
        <v>31</v>
      </c>
      <c r="S690" t="s">
        <v>28</v>
      </c>
      <c r="T690" t="str">
        <f>"85504805"</f>
        <v>85504805</v>
      </c>
      <c r="U690" t="s">
        <v>2461</v>
      </c>
      <c r="V690" t="s">
        <v>2462</v>
      </c>
    </row>
    <row r="691" spans="1:22" x14ac:dyDescent="0.25">
      <c r="A691" t="str">
        <f t="shared" si="91"/>
        <v>10807</v>
      </c>
      <c r="B691" t="s">
        <v>2438</v>
      </c>
      <c r="C691" t="s">
        <v>2439</v>
      </c>
      <c r="D691" t="s">
        <v>2621</v>
      </c>
      <c r="E691" t="s">
        <v>25</v>
      </c>
      <c r="F691" t="s">
        <v>26</v>
      </c>
      <c r="G691" t="str">
        <f t="shared" si="101"/>
        <v>37</v>
      </c>
      <c r="H691" t="str">
        <f>"12"</f>
        <v>12</v>
      </c>
      <c r="I691" t="s">
        <v>1331</v>
      </c>
      <c r="J691">
        <v>209.01599999999999</v>
      </c>
      <c r="K691">
        <v>0</v>
      </c>
      <c r="L691" t="s">
        <v>28</v>
      </c>
      <c r="M691" t="s">
        <v>2622</v>
      </c>
      <c r="N691">
        <v>1</v>
      </c>
      <c r="O691" t="str">
        <f>"723"</f>
        <v>723</v>
      </c>
      <c r="P691" t="s">
        <v>2489</v>
      </c>
      <c r="Q691" t="s">
        <v>1331</v>
      </c>
      <c r="R691" t="s">
        <v>31</v>
      </c>
      <c r="S691" t="s">
        <v>28</v>
      </c>
      <c r="T691" t="str">
        <f>"85504805"</f>
        <v>85504805</v>
      </c>
      <c r="U691" t="s">
        <v>2461</v>
      </c>
      <c r="V691" t="s">
        <v>2462</v>
      </c>
    </row>
    <row r="692" spans="1:22" x14ac:dyDescent="0.25">
      <c r="A692" t="str">
        <f t="shared" si="91"/>
        <v>10807</v>
      </c>
      <c r="B692" t="s">
        <v>2438</v>
      </c>
      <c r="C692" t="s">
        <v>2439</v>
      </c>
      <c r="D692" t="s">
        <v>2623</v>
      </c>
      <c r="E692" t="s">
        <v>25</v>
      </c>
      <c r="F692" t="s">
        <v>26</v>
      </c>
      <c r="G692" t="str">
        <f t="shared" si="101"/>
        <v>37</v>
      </c>
      <c r="H692" t="str">
        <f t="shared" ref="H692:H703" si="102">"41"</f>
        <v>41</v>
      </c>
      <c r="I692" t="s">
        <v>1027</v>
      </c>
      <c r="J692">
        <v>5</v>
      </c>
      <c r="K692">
        <v>0</v>
      </c>
      <c r="L692" t="s">
        <v>28</v>
      </c>
      <c r="M692" t="s">
        <v>2624</v>
      </c>
      <c r="N692">
        <v>1</v>
      </c>
      <c r="O692" t="str">
        <f t="shared" ref="O692:O703" si="103">"721"</f>
        <v>721</v>
      </c>
      <c r="P692" t="s">
        <v>2544</v>
      </c>
      <c r="Q692" t="s">
        <v>1027</v>
      </c>
      <c r="R692" t="s">
        <v>31</v>
      </c>
      <c r="S692" t="s">
        <v>28</v>
      </c>
      <c r="U692" t="s">
        <v>1274</v>
      </c>
      <c r="V692" t="s">
        <v>1097</v>
      </c>
    </row>
    <row r="693" spans="1:22" x14ac:dyDescent="0.25">
      <c r="A693" t="str">
        <f t="shared" si="91"/>
        <v>10807</v>
      </c>
      <c r="B693" t="s">
        <v>2438</v>
      </c>
      <c r="C693" t="s">
        <v>2439</v>
      </c>
      <c r="D693" t="s">
        <v>2623</v>
      </c>
      <c r="E693" t="s">
        <v>25</v>
      </c>
      <c r="F693" t="s">
        <v>26</v>
      </c>
      <c r="G693" t="str">
        <f t="shared" si="101"/>
        <v>37</v>
      </c>
      <c r="H693" t="str">
        <f t="shared" si="102"/>
        <v>41</v>
      </c>
      <c r="I693" t="s">
        <v>1027</v>
      </c>
      <c r="J693">
        <v>2</v>
      </c>
      <c r="K693">
        <v>0</v>
      </c>
      <c r="L693" t="s">
        <v>28</v>
      </c>
      <c r="M693" t="s">
        <v>2625</v>
      </c>
      <c r="N693">
        <v>1</v>
      </c>
      <c r="O693" t="str">
        <f t="shared" si="103"/>
        <v>721</v>
      </c>
      <c r="P693" t="s">
        <v>2544</v>
      </c>
      <c r="Q693" t="s">
        <v>1027</v>
      </c>
      <c r="R693" t="s">
        <v>31</v>
      </c>
      <c r="S693" t="s">
        <v>28</v>
      </c>
      <c r="U693" t="s">
        <v>1274</v>
      </c>
      <c r="V693" t="s">
        <v>1097</v>
      </c>
    </row>
    <row r="694" spans="1:22" x14ac:dyDescent="0.25">
      <c r="A694" t="str">
        <f t="shared" ref="A694:A712" si="104">"10807"</f>
        <v>10807</v>
      </c>
      <c r="B694" t="s">
        <v>2438</v>
      </c>
      <c r="C694" t="s">
        <v>2439</v>
      </c>
      <c r="D694" t="s">
        <v>2623</v>
      </c>
      <c r="E694" t="s">
        <v>25</v>
      </c>
      <c r="F694" t="s">
        <v>26</v>
      </c>
      <c r="G694" t="str">
        <f t="shared" si="101"/>
        <v>37</v>
      </c>
      <c r="H694" t="str">
        <f t="shared" si="102"/>
        <v>41</v>
      </c>
      <c r="I694" t="s">
        <v>1027</v>
      </c>
      <c r="J694">
        <v>2</v>
      </c>
      <c r="K694">
        <v>0</v>
      </c>
      <c r="L694" t="s">
        <v>28</v>
      </c>
      <c r="M694" t="s">
        <v>2626</v>
      </c>
      <c r="N694">
        <v>1</v>
      </c>
      <c r="O694" t="str">
        <f t="shared" si="103"/>
        <v>721</v>
      </c>
      <c r="P694" t="s">
        <v>2544</v>
      </c>
      <c r="Q694" t="s">
        <v>1027</v>
      </c>
      <c r="R694" t="s">
        <v>31</v>
      </c>
      <c r="S694" t="s">
        <v>28</v>
      </c>
      <c r="U694" t="s">
        <v>1274</v>
      </c>
      <c r="V694" t="s">
        <v>1097</v>
      </c>
    </row>
    <row r="695" spans="1:22" x14ac:dyDescent="0.25">
      <c r="A695" t="str">
        <f t="shared" si="104"/>
        <v>10807</v>
      </c>
      <c r="B695" t="s">
        <v>2438</v>
      </c>
      <c r="C695" t="s">
        <v>2439</v>
      </c>
      <c r="D695" t="s">
        <v>2623</v>
      </c>
      <c r="E695" t="s">
        <v>25</v>
      </c>
      <c r="F695" t="s">
        <v>26</v>
      </c>
      <c r="G695" t="str">
        <f t="shared" si="101"/>
        <v>37</v>
      </c>
      <c r="H695" t="str">
        <f t="shared" si="102"/>
        <v>41</v>
      </c>
      <c r="I695" t="s">
        <v>1027</v>
      </c>
      <c r="J695">
        <v>2</v>
      </c>
      <c r="K695">
        <v>0</v>
      </c>
      <c r="L695" t="s">
        <v>28</v>
      </c>
      <c r="M695" t="s">
        <v>2627</v>
      </c>
      <c r="N695">
        <v>1</v>
      </c>
      <c r="O695" t="str">
        <f t="shared" si="103"/>
        <v>721</v>
      </c>
      <c r="P695" t="s">
        <v>2544</v>
      </c>
      <c r="Q695" t="s">
        <v>1027</v>
      </c>
      <c r="R695" t="s">
        <v>31</v>
      </c>
      <c r="S695" t="s">
        <v>28</v>
      </c>
      <c r="U695" t="s">
        <v>1274</v>
      </c>
      <c r="V695" t="s">
        <v>1097</v>
      </c>
    </row>
    <row r="696" spans="1:22" x14ac:dyDescent="0.25">
      <c r="A696" t="str">
        <f t="shared" si="104"/>
        <v>10807</v>
      </c>
      <c r="B696" t="s">
        <v>2438</v>
      </c>
      <c r="C696" t="s">
        <v>2439</v>
      </c>
      <c r="D696" t="s">
        <v>2623</v>
      </c>
      <c r="E696" t="s">
        <v>25</v>
      </c>
      <c r="F696" t="s">
        <v>26</v>
      </c>
      <c r="G696" t="str">
        <f t="shared" si="101"/>
        <v>37</v>
      </c>
      <c r="H696" t="str">
        <f t="shared" si="102"/>
        <v>41</v>
      </c>
      <c r="I696" t="s">
        <v>1027</v>
      </c>
      <c r="J696">
        <v>2</v>
      </c>
      <c r="K696">
        <v>0</v>
      </c>
      <c r="L696" t="s">
        <v>28</v>
      </c>
      <c r="M696" t="s">
        <v>2628</v>
      </c>
      <c r="N696">
        <v>1</v>
      </c>
      <c r="O696" t="str">
        <f t="shared" si="103"/>
        <v>721</v>
      </c>
      <c r="P696" t="s">
        <v>2544</v>
      </c>
      <c r="Q696" t="s">
        <v>1027</v>
      </c>
      <c r="R696" t="s">
        <v>31</v>
      </c>
      <c r="S696" t="s">
        <v>28</v>
      </c>
      <c r="U696" t="s">
        <v>1274</v>
      </c>
      <c r="V696" t="s">
        <v>1097</v>
      </c>
    </row>
    <row r="697" spans="1:22" x14ac:dyDescent="0.25">
      <c r="A697" t="str">
        <f t="shared" si="104"/>
        <v>10807</v>
      </c>
      <c r="B697" t="s">
        <v>2438</v>
      </c>
      <c r="C697" t="s">
        <v>2439</v>
      </c>
      <c r="D697" t="s">
        <v>2623</v>
      </c>
      <c r="E697" t="s">
        <v>25</v>
      </c>
      <c r="F697" t="s">
        <v>26</v>
      </c>
      <c r="G697" t="str">
        <f t="shared" si="101"/>
        <v>37</v>
      </c>
      <c r="H697" t="str">
        <f t="shared" si="102"/>
        <v>41</v>
      </c>
      <c r="I697" t="s">
        <v>1027</v>
      </c>
      <c r="J697">
        <v>5</v>
      </c>
      <c r="K697">
        <v>0</v>
      </c>
      <c r="L697" t="s">
        <v>28</v>
      </c>
      <c r="M697" t="s">
        <v>2629</v>
      </c>
      <c r="N697">
        <v>1</v>
      </c>
      <c r="O697" t="str">
        <f t="shared" si="103"/>
        <v>721</v>
      </c>
      <c r="P697" t="s">
        <v>2544</v>
      </c>
      <c r="Q697" t="s">
        <v>1027</v>
      </c>
      <c r="R697" t="s">
        <v>31</v>
      </c>
      <c r="S697" t="s">
        <v>28</v>
      </c>
      <c r="U697" t="s">
        <v>1274</v>
      </c>
      <c r="V697" t="s">
        <v>1097</v>
      </c>
    </row>
    <row r="698" spans="1:22" x14ac:dyDescent="0.25">
      <c r="A698" t="str">
        <f t="shared" si="104"/>
        <v>10807</v>
      </c>
      <c r="B698" t="s">
        <v>2438</v>
      </c>
      <c r="C698" t="s">
        <v>2439</v>
      </c>
      <c r="D698" t="s">
        <v>2623</v>
      </c>
      <c r="E698" t="s">
        <v>25</v>
      </c>
      <c r="F698" t="s">
        <v>26</v>
      </c>
      <c r="G698" t="str">
        <f t="shared" si="101"/>
        <v>37</v>
      </c>
      <c r="H698" t="str">
        <f t="shared" si="102"/>
        <v>41</v>
      </c>
      <c r="I698" t="s">
        <v>1027</v>
      </c>
      <c r="J698">
        <v>2</v>
      </c>
      <c r="K698">
        <v>0</v>
      </c>
      <c r="L698" t="s">
        <v>28</v>
      </c>
      <c r="M698" t="s">
        <v>2630</v>
      </c>
      <c r="N698">
        <v>1</v>
      </c>
      <c r="O698" t="str">
        <f t="shared" si="103"/>
        <v>721</v>
      </c>
      <c r="P698" t="s">
        <v>2544</v>
      </c>
      <c r="Q698" t="s">
        <v>1027</v>
      </c>
      <c r="R698" t="s">
        <v>31</v>
      </c>
      <c r="S698" t="s">
        <v>28</v>
      </c>
      <c r="U698" t="s">
        <v>1274</v>
      </c>
      <c r="V698" t="s">
        <v>1097</v>
      </c>
    </row>
    <row r="699" spans="1:22" x14ac:dyDescent="0.25">
      <c r="A699" t="str">
        <f t="shared" si="104"/>
        <v>10807</v>
      </c>
      <c r="B699" t="s">
        <v>2438</v>
      </c>
      <c r="C699" t="s">
        <v>2439</v>
      </c>
      <c r="D699" t="s">
        <v>2623</v>
      </c>
      <c r="E699" t="s">
        <v>25</v>
      </c>
      <c r="F699" t="s">
        <v>26</v>
      </c>
      <c r="G699" t="str">
        <f t="shared" si="101"/>
        <v>37</v>
      </c>
      <c r="H699" t="str">
        <f t="shared" si="102"/>
        <v>41</v>
      </c>
      <c r="I699" t="s">
        <v>1027</v>
      </c>
      <c r="J699">
        <v>2</v>
      </c>
      <c r="K699">
        <v>0</v>
      </c>
      <c r="L699" t="s">
        <v>28</v>
      </c>
      <c r="M699" t="s">
        <v>2631</v>
      </c>
      <c r="N699">
        <v>1</v>
      </c>
      <c r="O699" t="str">
        <f t="shared" si="103"/>
        <v>721</v>
      </c>
      <c r="P699" t="s">
        <v>2544</v>
      </c>
      <c r="Q699" t="s">
        <v>1027</v>
      </c>
      <c r="R699" t="s">
        <v>31</v>
      </c>
      <c r="S699" t="s">
        <v>28</v>
      </c>
      <c r="U699" t="s">
        <v>1274</v>
      </c>
      <c r="V699" t="s">
        <v>1097</v>
      </c>
    </row>
    <row r="700" spans="1:22" x14ac:dyDescent="0.25">
      <c r="A700" t="str">
        <f t="shared" si="104"/>
        <v>10807</v>
      </c>
      <c r="B700" t="s">
        <v>2438</v>
      </c>
      <c r="C700" t="s">
        <v>2439</v>
      </c>
      <c r="D700" t="s">
        <v>2623</v>
      </c>
      <c r="E700" t="s">
        <v>25</v>
      </c>
      <c r="F700" t="s">
        <v>26</v>
      </c>
      <c r="G700" t="str">
        <f t="shared" si="101"/>
        <v>37</v>
      </c>
      <c r="H700" t="str">
        <f t="shared" si="102"/>
        <v>41</v>
      </c>
      <c r="I700" t="s">
        <v>1027</v>
      </c>
      <c r="J700">
        <v>2</v>
      </c>
      <c r="K700">
        <v>0</v>
      </c>
      <c r="L700" t="s">
        <v>28</v>
      </c>
      <c r="M700" t="s">
        <v>2632</v>
      </c>
      <c r="N700">
        <v>1</v>
      </c>
      <c r="O700" t="str">
        <f t="shared" si="103"/>
        <v>721</v>
      </c>
      <c r="P700" t="s">
        <v>2544</v>
      </c>
      <c r="Q700" t="s">
        <v>1027</v>
      </c>
      <c r="R700" t="s">
        <v>31</v>
      </c>
      <c r="S700" t="s">
        <v>28</v>
      </c>
      <c r="U700" t="s">
        <v>1274</v>
      </c>
      <c r="V700" t="s">
        <v>1097</v>
      </c>
    </row>
    <row r="701" spans="1:22" x14ac:dyDescent="0.25">
      <c r="A701" t="str">
        <f t="shared" si="104"/>
        <v>10807</v>
      </c>
      <c r="B701" t="s">
        <v>2438</v>
      </c>
      <c r="C701" t="s">
        <v>2439</v>
      </c>
      <c r="D701" t="s">
        <v>2623</v>
      </c>
      <c r="E701" t="s">
        <v>25</v>
      </c>
      <c r="F701" t="s">
        <v>26</v>
      </c>
      <c r="G701" t="str">
        <f t="shared" si="101"/>
        <v>37</v>
      </c>
      <c r="H701" t="str">
        <f t="shared" si="102"/>
        <v>41</v>
      </c>
      <c r="I701" t="s">
        <v>1027</v>
      </c>
      <c r="J701">
        <v>2</v>
      </c>
      <c r="K701">
        <v>0</v>
      </c>
      <c r="L701" t="s">
        <v>28</v>
      </c>
      <c r="M701" t="s">
        <v>2633</v>
      </c>
      <c r="N701">
        <v>1</v>
      </c>
      <c r="O701" t="str">
        <f t="shared" si="103"/>
        <v>721</v>
      </c>
      <c r="P701" t="s">
        <v>2544</v>
      </c>
      <c r="Q701" t="s">
        <v>1027</v>
      </c>
      <c r="R701" t="s">
        <v>31</v>
      </c>
      <c r="S701" t="s">
        <v>28</v>
      </c>
      <c r="U701" t="s">
        <v>1274</v>
      </c>
      <c r="V701" t="s">
        <v>1097</v>
      </c>
    </row>
    <row r="702" spans="1:22" x14ac:dyDescent="0.25">
      <c r="A702" t="str">
        <f t="shared" si="104"/>
        <v>10807</v>
      </c>
      <c r="B702" t="s">
        <v>2438</v>
      </c>
      <c r="C702" t="s">
        <v>2439</v>
      </c>
      <c r="D702" t="s">
        <v>2623</v>
      </c>
      <c r="E702" t="s">
        <v>25</v>
      </c>
      <c r="F702" t="s">
        <v>26</v>
      </c>
      <c r="G702" t="str">
        <f t="shared" si="101"/>
        <v>37</v>
      </c>
      <c r="H702" t="str">
        <f t="shared" si="102"/>
        <v>41</v>
      </c>
      <c r="I702" t="s">
        <v>1027</v>
      </c>
      <c r="J702">
        <v>5</v>
      </c>
      <c r="K702">
        <v>0</v>
      </c>
      <c r="L702" t="s">
        <v>28</v>
      </c>
      <c r="M702" t="s">
        <v>2634</v>
      </c>
      <c r="N702">
        <v>1</v>
      </c>
      <c r="O702" t="str">
        <f t="shared" si="103"/>
        <v>721</v>
      </c>
      <c r="P702" t="s">
        <v>2544</v>
      </c>
      <c r="Q702" t="s">
        <v>1027</v>
      </c>
      <c r="R702" t="s">
        <v>31</v>
      </c>
      <c r="S702" t="s">
        <v>28</v>
      </c>
      <c r="U702" t="s">
        <v>1274</v>
      </c>
      <c r="V702" t="s">
        <v>1097</v>
      </c>
    </row>
    <row r="703" spans="1:22" x14ac:dyDescent="0.25">
      <c r="A703" t="str">
        <f t="shared" si="104"/>
        <v>10807</v>
      </c>
      <c r="B703" t="s">
        <v>2438</v>
      </c>
      <c r="C703" t="s">
        <v>2439</v>
      </c>
      <c r="D703" t="s">
        <v>2623</v>
      </c>
      <c r="E703" t="s">
        <v>25</v>
      </c>
      <c r="F703" t="s">
        <v>26</v>
      </c>
      <c r="G703" t="str">
        <f t="shared" si="101"/>
        <v>37</v>
      </c>
      <c r="H703" t="str">
        <f t="shared" si="102"/>
        <v>41</v>
      </c>
      <c r="I703" t="s">
        <v>1027</v>
      </c>
      <c r="J703">
        <v>5</v>
      </c>
      <c r="K703">
        <v>0</v>
      </c>
      <c r="L703" t="s">
        <v>28</v>
      </c>
      <c r="M703" t="s">
        <v>2635</v>
      </c>
      <c r="N703">
        <v>1</v>
      </c>
      <c r="O703" t="str">
        <f t="shared" si="103"/>
        <v>721</v>
      </c>
      <c r="P703" t="s">
        <v>2544</v>
      </c>
      <c r="Q703" t="s">
        <v>1027</v>
      </c>
      <c r="R703" t="s">
        <v>31</v>
      </c>
      <c r="S703" t="s">
        <v>28</v>
      </c>
      <c r="U703" t="s">
        <v>1274</v>
      </c>
      <c r="V703" t="s">
        <v>1097</v>
      </c>
    </row>
    <row r="704" spans="1:22" x14ac:dyDescent="0.25">
      <c r="A704" t="str">
        <f t="shared" si="104"/>
        <v>10807</v>
      </c>
      <c r="B704" t="s">
        <v>2438</v>
      </c>
      <c r="C704" t="s">
        <v>2439</v>
      </c>
      <c r="D704" t="s">
        <v>2636</v>
      </c>
      <c r="E704" t="s">
        <v>25</v>
      </c>
      <c r="F704" t="s">
        <v>26</v>
      </c>
      <c r="G704" t="str">
        <f t="shared" si="101"/>
        <v>37</v>
      </c>
      <c r="H704" t="str">
        <f>"11"</f>
        <v>11</v>
      </c>
      <c r="I704" t="s">
        <v>1331</v>
      </c>
      <c r="J704">
        <v>100</v>
      </c>
      <c r="K704">
        <v>0</v>
      </c>
      <c r="L704" t="s">
        <v>28</v>
      </c>
      <c r="M704" t="s">
        <v>2637</v>
      </c>
      <c r="N704">
        <v>1</v>
      </c>
      <c r="O704" t="str">
        <f>"722"</f>
        <v>722</v>
      </c>
      <c r="P704" t="s">
        <v>2456</v>
      </c>
      <c r="Q704" t="s">
        <v>1331</v>
      </c>
      <c r="R704" t="s">
        <v>31</v>
      </c>
      <c r="S704" t="s">
        <v>28</v>
      </c>
      <c r="T704" t="str">
        <f>"36956838"</f>
        <v>36956838</v>
      </c>
      <c r="U704" t="s">
        <v>2457</v>
      </c>
      <c r="V704" t="s">
        <v>2458</v>
      </c>
    </row>
    <row r="705" spans="1:22" x14ac:dyDescent="0.25">
      <c r="A705" t="str">
        <f t="shared" si="104"/>
        <v>10807</v>
      </c>
      <c r="B705" t="s">
        <v>2438</v>
      </c>
      <c r="C705" t="s">
        <v>2439</v>
      </c>
      <c r="D705" t="s">
        <v>2638</v>
      </c>
      <c r="E705" t="s">
        <v>25</v>
      </c>
      <c r="F705" t="s">
        <v>26</v>
      </c>
      <c r="G705" t="str">
        <f t="shared" si="101"/>
        <v>37</v>
      </c>
      <c r="H705" t="str">
        <f>"10"</f>
        <v>10</v>
      </c>
      <c r="I705" t="s">
        <v>2416</v>
      </c>
      <c r="J705">
        <v>100</v>
      </c>
      <c r="K705">
        <v>0</v>
      </c>
      <c r="L705" t="s">
        <v>28</v>
      </c>
      <c r="M705" t="s">
        <v>2639</v>
      </c>
      <c r="N705">
        <v>1</v>
      </c>
      <c r="O705" t="str">
        <f>"722"</f>
        <v>722</v>
      </c>
      <c r="P705" t="s">
        <v>2640</v>
      </c>
      <c r="Q705" t="s">
        <v>2416</v>
      </c>
      <c r="R705" t="s">
        <v>31</v>
      </c>
      <c r="S705" t="s">
        <v>28</v>
      </c>
      <c r="T705" t="str">
        <f>"26097394"</f>
        <v>26097394</v>
      </c>
      <c r="U705" t="s">
        <v>2641</v>
      </c>
      <c r="V705" t="s">
        <v>2642</v>
      </c>
    </row>
    <row r="706" spans="1:22" x14ac:dyDescent="0.25">
      <c r="A706" t="str">
        <f t="shared" si="104"/>
        <v>10807</v>
      </c>
      <c r="B706" t="s">
        <v>2438</v>
      </c>
      <c r="C706" t="s">
        <v>2439</v>
      </c>
      <c r="D706" t="s">
        <v>2643</v>
      </c>
      <c r="E706" t="s">
        <v>25</v>
      </c>
      <c r="F706" t="s">
        <v>26</v>
      </c>
      <c r="G706" t="str">
        <f t="shared" si="101"/>
        <v>37</v>
      </c>
      <c r="H706" t="str">
        <f>"12"</f>
        <v>12</v>
      </c>
      <c r="I706" t="s">
        <v>1331</v>
      </c>
      <c r="J706">
        <v>238.208</v>
      </c>
      <c r="K706">
        <v>0</v>
      </c>
      <c r="L706" t="s">
        <v>28</v>
      </c>
      <c r="M706" t="s">
        <v>2644</v>
      </c>
      <c r="N706">
        <v>1</v>
      </c>
      <c r="O706" t="str">
        <f>"723"</f>
        <v>723</v>
      </c>
      <c r="P706" t="s">
        <v>2489</v>
      </c>
      <c r="Q706" t="s">
        <v>1331</v>
      </c>
      <c r="R706" t="s">
        <v>31</v>
      </c>
      <c r="S706" t="s">
        <v>28</v>
      </c>
      <c r="T706" t="str">
        <f>"85504805"</f>
        <v>85504805</v>
      </c>
      <c r="U706" t="s">
        <v>2461</v>
      </c>
      <c r="V706" t="s">
        <v>2462</v>
      </c>
    </row>
    <row r="707" spans="1:22" x14ac:dyDescent="0.25">
      <c r="A707" t="str">
        <f t="shared" si="104"/>
        <v>10807</v>
      </c>
      <c r="B707" t="s">
        <v>2438</v>
      </c>
      <c r="C707" t="s">
        <v>2439</v>
      </c>
      <c r="D707" t="s">
        <v>2645</v>
      </c>
      <c r="E707" t="s">
        <v>25</v>
      </c>
      <c r="F707" t="s">
        <v>26</v>
      </c>
      <c r="G707" t="str">
        <f t="shared" si="101"/>
        <v>37</v>
      </c>
      <c r="H707" t="str">
        <f>"12"</f>
        <v>12</v>
      </c>
      <c r="I707" t="s">
        <v>835</v>
      </c>
      <c r="J707">
        <v>100.51</v>
      </c>
      <c r="K707">
        <v>0</v>
      </c>
      <c r="L707" t="s">
        <v>28</v>
      </c>
      <c r="M707" t="s">
        <v>2646</v>
      </c>
      <c r="N707">
        <v>1</v>
      </c>
      <c r="O707" t="str">
        <f>"723"</f>
        <v>723</v>
      </c>
      <c r="P707" t="s">
        <v>2460</v>
      </c>
      <c r="Q707" t="s">
        <v>835</v>
      </c>
      <c r="R707" t="s">
        <v>31</v>
      </c>
      <c r="S707" t="s">
        <v>28</v>
      </c>
      <c r="T707" t="str">
        <f>"85504805"</f>
        <v>85504805</v>
      </c>
      <c r="U707" t="s">
        <v>2461</v>
      </c>
      <c r="V707" t="s">
        <v>2462</v>
      </c>
    </row>
    <row r="708" spans="1:22" x14ac:dyDescent="0.25">
      <c r="A708" t="str">
        <f t="shared" si="104"/>
        <v>10807</v>
      </c>
      <c r="B708" t="s">
        <v>2438</v>
      </c>
      <c r="C708" t="s">
        <v>2439</v>
      </c>
      <c r="D708" t="s">
        <v>2647</v>
      </c>
      <c r="E708" t="s">
        <v>25</v>
      </c>
      <c r="F708" t="s">
        <v>26</v>
      </c>
      <c r="G708" t="str">
        <f t="shared" si="101"/>
        <v>37</v>
      </c>
      <c r="H708" t="str">
        <f>"11"</f>
        <v>11</v>
      </c>
      <c r="I708" t="s">
        <v>1331</v>
      </c>
      <c r="J708">
        <v>50</v>
      </c>
      <c r="K708">
        <v>0</v>
      </c>
      <c r="L708" t="s">
        <v>28</v>
      </c>
      <c r="M708" t="s">
        <v>2648</v>
      </c>
      <c r="N708">
        <v>1</v>
      </c>
      <c r="O708" t="str">
        <f>"722"</f>
        <v>722</v>
      </c>
      <c r="P708" t="s">
        <v>2649</v>
      </c>
      <c r="Q708" t="s">
        <v>1331</v>
      </c>
      <c r="R708" t="s">
        <v>31</v>
      </c>
      <c r="S708" t="s">
        <v>28</v>
      </c>
      <c r="T708" t="str">
        <f>"87883042"</f>
        <v>87883042</v>
      </c>
      <c r="U708" t="s">
        <v>2650</v>
      </c>
      <c r="V708" t="s">
        <v>2651</v>
      </c>
    </row>
    <row r="709" spans="1:22" x14ac:dyDescent="0.25">
      <c r="A709" t="str">
        <f t="shared" si="104"/>
        <v>10807</v>
      </c>
      <c r="B709" t="s">
        <v>2438</v>
      </c>
      <c r="C709" t="s">
        <v>2439</v>
      </c>
      <c r="D709" t="s">
        <v>2652</v>
      </c>
      <c r="E709" t="s">
        <v>25</v>
      </c>
      <c r="F709" t="s">
        <v>26</v>
      </c>
      <c r="G709" t="str">
        <f t="shared" si="101"/>
        <v>37</v>
      </c>
      <c r="H709" t="str">
        <f>"11"</f>
        <v>11</v>
      </c>
      <c r="I709" t="s">
        <v>1331</v>
      </c>
      <c r="J709">
        <v>30</v>
      </c>
      <c r="K709">
        <v>0</v>
      </c>
      <c r="L709" t="s">
        <v>28</v>
      </c>
      <c r="M709" t="s">
        <v>2653</v>
      </c>
      <c r="N709">
        <v>1</v>
      </c>
      <c r="O709" t="str">
        <f>"722"</f>
        <v>722</v>
      </c>
      <c r="P709" t="s">
        <v>2654</v>
      </c>
      <c r="Q709" t="s">
        <v>2655</v>
      </c>
      <c r="R709" t="s">
        <v>31</v>
      </c>
      <c r="S709" t="s">
        <v>294</v>
      </c>
      <c r="T709" t="str">
        <f>"87884324"</f>
        <v>87884324</v>
      </c>
      <c r="U709" t="s">
        <v>2656</v>
      </c>
      <c r="V709" t="s">
        <v>2657</v>
      </c>
    </row>
    <row r="710" spans="1:22" x14ac:dyDescent="0.25">
      <c r="A710" t="str">
        <f t="shared" si="104"/>
        <v>10807</v>
      </c>
      <c r="B710" t="s">
        <v>2438</v>
      </c>
      <c r="C710" t="s">
        <v>2439</v>
      </c>
      <c r="D710" t="s">
        <v>2658</v>
      </c>
      <c r="E710" t="s">
        <v>25</v>
      </c>
      <c r="F710" t="s">
        <v>26</v>
      </c>
      <c r="G710" t="str">
        <f t="shared" si="101"/>
        <v>37</v>
      </c>
      <c r="H710" t="str">
        <f>"12"</f>
        <v>12</v>
      </c>
      <c r="I710" t="s">
        <v>1331</v>
      </c>
      <c r="J710">
        <v>259.92</v>
      </c>
      <c r="K710">
        <v>0</v>
      </c>
      <c r="L710" t="s">
        <v>28</v>
      </c>
      <c r="M710" t="s">
        <v>2659</v>
      </c>
      <c r="N710">
        <v>1</v>
      </c>
      <c r="O710" t="str">
        <f>"723"</f>
        <v>723</v>
      </c>
      <c r="P710" t="s">
        <v>2489</v>
      </c>
      <c r="Q710" t="s">
        <v>1331</v>
      </c>
      <c r="R710" t="s">
        <v>31</v>
      </c>
      <c r="S710" t="s">
        <v>28</v>
      </c>
      <c r="T710" t="str">
        <f>"85504805"</f>
        <v>85504805</v>
      </c>
      <c r="U710" t="s">
        <v>2461</v>
      </c>
      <c r="V710" t="s">
        <v>2462</v>
      </c>
    </row>
    <row r="711" spans="1:22" x14ac:dyDescent="0.25">
      <c r="A711" t="str">
        <f t="shared" si="104"/>
        <v>10807</v>
      </c>
      <c r="B711" t="s">
        <v>2438</v>
      </c>
      <c r="C711" t="s">
        <v>2439</v>
      </c>
      <c r="D711" t="s">
        <v>2660</v>
      </c>
      <c r="E711" t="s">
        <v>1272</v>
      </c>
      <c r="F711" t="s">
        <v>1273</v>
      </c>
      <c r="G711" t="str">
        <f>"65"</f>
        <v>65</v>
      </c>
      <c r="I711" t="s">
        <v>1331</v>
      </c>
      <c r="J711">
        <v>90</v>
      </c>
      <c r="K711">
        <v>0</v>
      </c>
      <c r="L711" t="s">
        <v>28</v>
      </c>
      <c r="M711" t="s">
        <v>2661</v>
      </c>
      <c r="N711">
        <v>1</v>
      </c>
      <c r="O711" t="str">
        <f>"723"</f>
        <v>723</v>
      </c>
      <c r="P711" t="s">
        <v>2442</v>
      </c>
      <c r="Q711" t="s">
        <v>1331</v>
      </c>
      <c r="R711" t="s">
        <v>31</v>
      </c>
      <c r="S711" t="s">
        <v>28</v>
      </c>
      <c r="T711" t="str">
        <f>"08261920"</f>
        <v>08261920</v>
      </c>
      <c r="U711" t="s">
        <v>2443</v>
      </c>
      <c r="V711" t="s">
        <v>2444</v>
      </c>
    </row>
    <row r="712" spans="1:22" x14ac:dyDescent="0.25">
      <c r="A712" t="str">
        <f t="shared" si="104"/>
        <v>10807</v>
      </c>
      <c r="B712" t="s">
        <v>2438</v>
      </c>
      <c r="C712" t="s">
        <v>2439</v>
      </c>
      <c r="D712" t="s">
        <v>2662</v>
      </c>
      <c r="E712" t="s">
        <v>1272</v>
      </c>
      <c r="F712" t="s">
        <v>1273</v>
      </c>
      <c r="G712" t="str">
        <f>"65"</f>
        <v>65</v>
      </c>
      <c r="I712" t="s">
        <v>2311</v>
      </c>
      <c r="J712">
        <v>324.92399999999998</v>
      </c>
      <c r="K712">
        <v>0</v>
      </c>
      <c r="L712" t="s">
        <v>28</v>
      </c>
      <c r="M712" t="s">
        <v>2663</v>
      </c>
      <c r="N712">
        <v>1</v>
      </c>
      <c r="O712" t="str">
        <f>"722"</f>
        <v>722</v>
      </c>
      <c r="P712" t="s">
        <v>2664</v>
      </c>
      <c r="Q712" t="s">
        <v>2311</v>
      </c>
      <c r="R712" t="s">
        <v>31</v>
      </c>
      <c r="S712" t="s">
        <v>28</v>
      </c>
      <c r="U712" t="s">
        <v>1274</v>
      </c>
      <c r="V712" t="s">
        <v>1097</v>
      </c>
    </row>
  </sheetData>
  <autoFilter ref="A1:V712"/>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712"/>
  <sheetViews>
    <sheetView tabSelected="1" zoomScale="85" zoomScaleNormal="85" workbookViewId="0">
      <selection activeCell="E227" sqref="E227"/>
    </sheetView>
  </sheetViews>
  <sheetFormatPr defaultColWidth="8.875" defaultRowHeight="16.5" x14ac:dyDescent="0.25"/>
  <cols>
    <col min="1" max="1" width="10.25" style="11" customWidth="1"/>
    <col min="2" max="2" width="5.875" style="11" customWidth="1"/>
    <col min="3" max="3" width="18.25" style="11" customWidth="1"/>
    <col min="4" max="5" width="36.375" style="14" customWidth="1"/>
    <col min="6" max="6" width="10.75" style="11" customWidth="1"/>
    <col min="7" max="7" width="28.625" style="11" customWidth="1"/>
    <col min="8" max="8" width="8.875" style="11" customWidth="1"/>
    <col min="9" max="16384" width="8.875" style="11"/>
  </cols>
  <sheetData>
    <row r="1" spans="1:8" x14ac:dyDescent="0.25">
      <c r="A1" s="9" t="s">
        <v>3117</v>
      </c>
      <c r="B1" s="9" t="s">
        <v>3118</v>
      </c>
      <c r="C1" s="9" t="s">
        <v>3119</v>
      </c>
      <c r="D1" s="7" t="s">
        <v>3120</v>
      </c>
      <c r="E1" s="7" t="s">
        <v>3115</v>
      </c>
      <c r="F1" s="9" t="s">
        <v>3121</v>
      </c>
      <c r="G1" s="9" t="s">
        <v>17</v>
      </c>
      <c r="H1" s="10" t="s">
        <v>3116</v>
      </c>
    </row>
    <row r="2" spans="1:8" customFormat="1" ht="16.149999999999999" hidden="1" x14ac:dyDescent="0.3">
      <c r="A2" s="3">
        <v>108</v>
      </c>
      <c r="B2" s="3">
        <v>7</v>
      </c>
      <c r="C2" s="3" t="s">
        <v>2672</v>
      </c>
      <c r="D2" s="4" t="s">
        <v>2792</v>
      </c>
      <c r="E2" s="4" t="s">
        <v>3276</v>
      </c>
      <c r="F2" s="3">
        <v>50</v>
      </c>
      <c r="G2" s="3" t="s">
        <v>2674</v>
      </c>
      <c r="H2" s="3" t="s">
        <v>3129</v>
      </c>
    </row>
    <row r="3" spans="1:8" customFormat="1" ht="16.149999999999999" hidden="1" x14ac:dyDescent="0.3">
      <c r="A3" s="3">
        <v>108</v>
      </c>
      <c r="B3" s="3">
        <v>7</v>
      </c>
      <c r="C3" s="3" t="s">
        <v>2672</v>
      </c>
      <c r="D3" s="4" t="s">
        <v>2802</v>
      </c>
      <c r="E3" s="4" t="s">
        <v>529</v>
      </c>
      <c r="F3" s="3">
        <v>30</v>
      </c>
      <c r="G3" s="3" t="s">
        <v>2674</v>
      </c>
      <c r="H3" s="3" t="s">
        <v>3123</v>
      </c>
    </row>
    <row r="4" spans="1:8" ht="49.5" x14ac:dyDescent="0.25">
      <c r="A4" s="9">
        <v>108</v>
      </c>
      <c r="B4" s="9">
        <v>7</v>
      </c>
      <c r="C4" s="9" t="s">
        <v>2672</v>
      </c>
      <c r="D4" s="7" t="s">
        <v>2817</v>
      </c>
      <c r="E4" s="7" t="s">
        <v>3307</v>
      </c>
      <c r="F4" s="9">
        <v>20</v>
      </c>
      <c r="G4" s="9" t="s">
        <v>2674</v>
      </c>
      <c r="H4" s="9" t="s">
        <v>2670</v>
      </c>
    </row>
    <row r="5" spans="1:8" customFormat="1" ht="16.149999999999999" hidden="1" x14ac:dyDescent="0.3">
      <c r="A5" s="3">
        <v>108</v>
      </c>
      <c r="B5" s="3">
        <v>7</v>
      </c>
      <c r="C5" s="3" t="s">
        <v>2672</v>
      </c>
      <c r="D5" s="4" t="s">
        <v>2685</v>
      </c>
      <c r="E5" s="4" t="s">
        <v>3149</v>
      </c>
      <c r="F5" s="3">
        <v>50</v>
      </c>
      <c r="G5" s="3" t="s">
        <v>2674</v>
      </c>
      <c r="H5" s="3" t="s">
        <v>3124</v>
      </c>
    </row>
    <row r="6" spans="1:8" customFormat="1" ht="16.149999999999999" hidden="1" x14ac:dyDescent="0.3">
      <c r="A6" s="3">
        <v>108</v>
      </c>
      <c r="B6" s="3">
        <v>7</v>
      </c>
      <c r="C6" s="3" t="s">
        <v>2672</v>
      </c>
      <c r="D6" s="4" t="s">
        <v>2774</v>
      </c>
      <c r="E6" s="4" t="s">
        <v>3264</v>
      </c>
      <c r="F6" s="3">
        <v>70.293999999999997</v>
      </c>
      <c r="G6" s="3" t="s">
        <v>2674</v>
      </c>
      <c r="H6" s="3" t="s">
        <v>3126</v>
      </c>
    </row>
    <row r="7" spans="1:8" customFormat="1" ht="16.149999999999999" hidden="1" x14ac:dyDescent="0.3">
      <c r="A7" s="3">
        <v>108</v>
      </c>
      <c r="B7" s="3">
        <v>7</v>
      </c>
      <c r="C7" s="3" t="s">
        <v>2672</v>
      </c>
      <c r="D7" s="4" t="s">
        <v>2743</v>
      </c>
      <c r="E7" s="4" t="s">
        <v>3234</v>
      </c>
      <c r="F7" s="3">
        <v>20</v>
      </c>
      <c r="G7" s="3" t="s">
        <v>2674</v>
      </c>
      <c r="H7" s="3" t="s">
        <v>3127</v>
      </c>
    </row>
    <row r="8" spans="1:8" customFormat="1" ht="16.149999999999999" hidden="1" x14ac:dyDescent="0.3">
      <c r="A8" s="3">
        <v>108</v>
      </c>
      <c r="B8" s="3">
        <v>7</v>
      </c>
      <c r="C8" s="3" t="s">
        <v>2672</v>
      </c>
      <c r="D8" s="4" t="s">
        <v>2747</v>
      </c>
      <c r="E8" s="4" t="s">
        <v>3237</v>
      </c>
      <c r="F8" s="3">
        <v>50</v>
      </c>
      <c r="G8" s="3" t="s">
        <v>2674</v>
      </c>
      <c r="H8" s="3" t="s">
        <v>3128</v>
      </c>
    </row>
    <row r="9" spans="1:8" customFormat="1" ht="16.149999999999999" hidden="1" x14ac:dyDescent="0.3">
      <c r="A9" s="3">
        <v>108</v>
      </c>
      <c r="B9" s="3">
        <v>7</v>
      </c>
      <c r="C9" s="3" t="s">
        <v>2672</v>
      </c>
      <c r="D9" s="4" t="s">
        <v>2751</v>
      </c>
      <c r="E9" s="4" t="s">
        <v>3239</v>
      </c>
      <c r="F9" s="3">
        <v>50</v>
      </c>
      <c r="G9" s="3" t="s">
        <v>2674</v>
      </c>
      <c r="H9" s="3" t="s">
        <v>3124</v>
      </c>
    </row>
    <row r="10" spans="1:8" customFormat="1" ht="16.149999999999999" hidden="1" x14ac:dyDescent="0.3">
      <c r="A10" s="3">
        <v>108</v>
      </c>
      <c r="B10" s="3">
        <v>7</v>
      </c>
      <c r="C10" s="3" t="s">
        <v>2672</v>
      </c>
      <c r="D10" s="4" t="s">
        <v>2837</v>
      </c>
      <c r="E10" s="4" t="s">
        <v>3335</v>
      </c>
      <c r="F10" s="3">
        <v>30</v>
      </c>
      <c r="G10" s="3" t="s">
        <v>2674</v>
      </c>
      <c r="H10" s="3" t="s">
        <v>3122</v>
      </c>
    </row>
    <row r="11" spans="1:8" customFormat="1" ht="16.149999999999999" hidden="1" x14ac:dyDescent="0.3">
      <c r="A11" s="3">
        <v>108</v>
      </c>
      <c r="B11" s="3">
        <v>7</v>
      </c>
      <c r="C11" s="3" t="s">
        <v>2672</v>
      </c>
      <c r="D11" s="4" t="s">
        <v>2793</v>
      </c>
      <c r="E11" s="4" t="s">
        <v>3282</v>
      </c>
      <c r="F11" s="3">
        <v>20</v>
      </c>
      <c r="G11" s="3" t="s">
        <v>2674</v>
      </c>
      <c r="H11" s="3" t="s">
        <v>3122</v>
      </c>
    </row>
    <row r="12" spans="1:8" customFormat="1" ht="16.149999999999999" hidden="1" x14ac:dyDescent="0.3">
      <c r="A12" s="3">
        <v>108</v>
      </c>
      <c r="B12" s="3">
        <v>7</v>
      </c>
      <c r="C12" s="3" t="s">
        <v>2672</v>
      </c>
      <c r="D12" s="4" t="s">
        <v>2731</v>
      </c>
      <c r="E12" s="4" t="s">
        <v>3211</v>
      </c>
      <c r="F12" s="3">
        <v>20</v>
      </c>
      <c r="G12" s="3" t="s">
        <v>2674</v>
      </c>
      <c r="H12" s="3" t="s">
        <v>3122</v>
      </c>
    </row>
    <row r="13" spans="1:8" customFormat="1" ht="16.149999999999999" hidden="1" x14ac:dyDescent="0.3">
      <c r="A13" s="3">
        <v>108</v>
      </c>
      <c r="B13" s="3">
        <v>7</v>
      </c>
      <c r="C13" s="3" t="s">
        <v>2672</v>
      </c>
      <c r="D13" s="4" t="s">
        <v>2673</v>
      </c>
      <c r="E13" s="4" t="s">
        <v>29</v>
      </c>
      <c r="F13" s="3">
        <v>20</v>
      </c>
      <c r="G13" s="3" t="s">
        <v>2674</v>
      </c>
      <c r="H13" s="3" t="s">
        <v>3122</v>
      </c>
    </row>
    <row r="14" spans="1:8" customFormat="1" ht="16.149999999999999" hidden="1" x14ac:dyDescent="0.3">
      <c r="A14" s="3">
        <v>108</v>
      </c>
      <c r="B14" s="3">
        <v>7</v>
      </c>
      <c r="C14" s="3" t="s">
        <v>2672</v>
      </c>
      <c r="D14" s="4" t="s">
        <v>3324</v>
      </c>
      <c r="E14" s="4" t="s">
        <v>3325</v>
      </c>
      <c r="F14" s="3">
        <v>26.311</v>
      </c>
      <c r="G14" s="3" t="s">
        <v>2674</v>
      </c>
      <c r="H14" s="3" t="s">
        <v>3122</v>
      </c>
    </row>
    <row r="15" spans="1:8" customFormat="1" ht="16.149999999999999" hidden="1" x14ac:dyDescent="0.3">
      <c r="A15" s="3">
        <v>108</v>
      </c>
      <c r="B15" s="3">
        <v>7</v>
      </c>
      <c r="C15" s="3" t="s">
        <v>2672</v>
      </c>
      <c r="D15" s="4" t="s">
        <v>2827</v>
      </c>
      <c r="E15" s="4" t="s">
        <v>3315</v>
      </c>
      <c r="F15" s="3">
        <v>30</v>
      </c>
      <c r="G15" s="3" t="s">
        <v>2674</v>
      </c>
      <c r="H15" s="3" t="s">
        <v>3122</v>
      </c>
    </row>
    <row r="16" spans="1:8" customFormat="1" ht="16.149999999999999" hidden="1" x14ac:dyDescent="0.3">
      <c r="A16" s="3">
        <v>108</v>
      </c>
      <c r="B16" s="3">
        <v>7</v>
      </c>
      <c r="C16" s="3" t="s">
        <v>2672</v>
      </c>
      <c r="D16" s="4" t="s">
        <v>3217</v>
      </c>
      <c r="E16" s="4" t="s">
        <v>3218</v>
      </c>
      <c r="F16" s="3">
        <v>20</v>
      </c>
      <c r="G16" s="3" t="s">
        <v>2674</v>
      </c>
      <c r="H16" s="3" t="s">
        <v>3122</v>
      </c>
    </row>
    <row r="17" spans="1:8" customFormat="1" ht="16.149999999999999" hidden="1" x14ac:dyDescent="0.3">
      <c r="A17" s="3">
        <v>108</v>
      </c>
      <c r="B17" s="3">
        <v>7</v>
      </c>
      <c r="C17" s="3" t="s">
        <v>2672</v>
      </c>
      <c r="D17" s="4" t="s">
        <v>3165</v>
      </c>
      <c r="E17" s="4" t="s">
        <v>3166</v>
      </c>
      <c r="F17" s="3">
        <v>20</v>
      </c>
      <c r="G17" s="3" t="s">
        <v>2674</v>
      </c>
      <c r="H17" s="3" t="s">
        <v>3122</v>
      </c>
    </row>
    <row r="18" spans="1:8" customFormat="1" ht="16.149999999999999" hidden="1" x14ac:dyDescent="0.3">
      <c r="A18" s="3">
        <v>108</v>
      </c>
      <c r="B18" s="3">
        <v>7</v>
      </c>
      <c r="C18" s="3" t="s">
        <v>2672</v>
      </c>
      <c r="D18" s="4" t="s">
        <v>3302</v>
      </c>
      <c r="E18" s="4" t="s">
        <v>3303</v>
      </c>
      <c r="F18" s="3">
        <v>20</v>
      </c>
      <c r="G18" s="3" t="s">
        <v>2674</v>
      </c>
      <c r="H18" s="3" t="s">
        <v>3122</v>
      </c>
    </row>
    <row r="19" spans="1:8" customFormat="1" ht="16.149999999999999" hidden="1" x14ac:dyDescent="0.3">
      <c r="A19" s="3">
        <v>108</v>
      </c>
      <c r="B19" s="3">
        <v>7</v>
      </c>
      <c r="C19" s="3" t="s">
        <v>2672</v>
      </c>
      <c r="D19" s="4" t="s">
        <v>2706</v>
      </c>
      <c r="E19" s="4" t="s">
        <v>3182</v>
      </c>
      <c r="F19" s="3">
        <v>20</v>
      </c>
      <c r="G19" s="3" t="s">
        <v>2674</v>
      </c>
      <c r="H19" s="3" t="s">
        <v>3122</v>
      </c>
    </row>
    <row r="20" spans="1:8" customFormat="1" ht="16.149999999999999" hidden="1" x14ac:dyDescent="0.3">
      <c r="A20" s="3">
        <v>108</v>
      </c>
      <c r="B20" s="3">
        <v>7</v>
      </c>
      <c r="C20" s="3" t="s">
        <v>2672</v>
      </c>
      <c r="D20" s="4" t="s">
        <v>2782</v>
      </c>
      <c r="E20" s="4" t="s">
        <v>3271</v>
      </c>
      <c r="F20" s="3">
        <v>20</v>
      </c>
      <c r="G20" s="3" t="s">
        <v>2674</v>
      </c>
      <c r="H20" s="3" t="s">
        <v>3122</v>
      </c>
    </row>
    <row r="21" spans="1:8" customFormat="1" ht="16.149999999999999" hidden="1" x14ac:dyDescent="0.3">
      <c r="A21" s="3">
        <v>108</v>
      </c>
      <c r="B21" s="3">
        <v>7</v>
      </c>
      <c r="C21" s="3" t="s">
        <v>2672</v>
      </c>
      <c r="D21" s="4" t="s">
        <v>2840</v>
      </c>
      <c r="E21" s="4" t="s">
        <v>3341</v>
      </c>
      <c r="F21" s="3">
        <v>30</v>
      </c>
      <c r="G21" s="3" t="s">
        <v>2674</v>
      </c>
      <c r="H21" s="3" t="s">
        <v>3122</v>
      </c>
    </row>
    <row r="22" spans="1:8" customFormat="1" ht="16.149999999999999" hidden="1" x14ac:dyDescent="0.3">
      <c r="A22" s="3">
        <v>108</v>
      </c>
      <c r="B22" s="3">
        <v>7</v>
      </c>
      <c r="C22" s="3" t="s">
        <v>2672</v>
      </c>
      <c r="D22" s="4" t="s">
        <v>2695</v>
      </c>
      <c r="E22" s="4" t="s">
        <v>3163</v>
      </c>
      <c r="F22" s="3">
        <v>100</v>
      </c>
      <c r="G22" s="3" t="s">
        <v>2674</v>
      </c>
      <c r="H22" s="3" t="s">
        <v>3124</v>
      </c>
    </row>
    <row r="23" spans="1:8" customFormat="1" ht="16.149999999999999" hidden="1" x14ac:dyDescent="0.3">
      <c r="A23" s="3">
        <v>108</v>
      </c>
      <c r="B23" s="3">
        <v>7</v>
      </c>
      <c r="C23" s="3" t="s">
        <v>2672</v>
      </c>
      <c r="D23" s="4" t="s">
        <v>2683</v>
      </c>
      <c r="E23" s="4" t="s">
        <v>3148</v>
      </c>
      <c r="F23" s="3">
        <v>20</v>
      </c>
      <c r="G23" s="3" t="s">
        <v>2674</v>
      </c>
      <c r="H23" s="3" t="s">
        <v>3125</v>
      </c>
    </row>
    <row r="24" spans="1:8" customFormat="1" ht="16.149999999999999" hidden="1" x14ac:dyDescent="0.3">
      <c r="A24" s="3">
        <v>108</v>
      </c>
      <c r="B24" s="3">
        <v>7</v>
      </c>
      <c r="C24" s="3" t="s">
        <v>2672</v>
      </c>
      <c r="D24" s="4" t="s">
        <v>2798</v>
      </c>
      <c r="E24" s="4" t="s">
        <v>3394</v>
      </c>
      <c r="F24" s="3">
        <v>30</v>
      </c>
      <c r="G24" s="3" t="s">
        <v>2674</v>
      </c>
      <c r="H24" s="3" t="s">
        <v>3124</v>
      </c>
    </row>
    <row r="25" spans="1:8" customFormat="1" ht="16.149999999999999" hidden="1" x14ac:dyDescent="0.3">
      <c r="A25" s="3">
        <v>108</v>
      </c>
      <c r="B25" s="3">
        <v>7</v>
      </c>
      <c r="C25" s="3" t="s">
        <v>2672</v>
      </c>
      <c r="D25" s="4" t="s">
        <v>3193</v>
      </c>
      <c r="E25" s="4" t="s">
        <v>3194</v>
      </c>
      <c r="F25" s="3">
        <v>30</v>
      </c>
      <c r="G25" s="3" t="s">
        <v>2674</v>
      </c>
      <c r="H25" s="3" t="s">
        <v>3127</v>
      </c>
    </row>
    <row r="26" spans="1:8" customFormat="1" ht="16.149999999999999" hidden="1" x14ac:dyDescent="0.3">
      <c r="A26" s="3">
        <v>108</v>
      </c>
      <c r="B26" s="3">
        <v>7</v>
      </c>
      <c r="C26" s="3" t="s">
        <v>2672</v>
      </c>
      <c r="D26" s="4" t="s">
        <v>2712</v>
      </c>
      <c r="E26" s="4" t="s">
        <v>191</v>
      </c>
      <c r="F26" s="3">
        <v>30</v>
      </c>
      <c r="G26" s="3" t="s">
        <v>2674</v>
      </c>
      <c r="H26" s="3" t="s">
        <v>2668</v>
      </c>
    </row>
    <row r="27" spans="1:8" customFormat="1" ht="16.149999999999999" hidden="1" x14ac:dyDescent="0.3">
      <c r="A27" s="3">
        <v>108</v>
      </c>
      <c r="B27" s="3">
        <v>7</v>
      </c>
      <c r="C27" s="3" t="s">
        <v>2672</v>
      </c>
      <c r="D27" s="4" t="s">
        <v>2766</v>
      </c>
      <c r="E27" s="4" t="s">
        <v>3257</v>
      </c>
      <c r="F27" s="3">
        <v>50</v>
      </c>
      <c r="G27" s="3" t="s">
        <v>2674</v>
      </c>
      <c r="H27" s="3" t="s">
        <v>2668</v>
      </c>
    </row>
    <row r="28" spans="1:8" customFormat="1" ht="16.149999999999999" hidden="1" x14ac:dyDescent="0.3">
      <c r="A28" s="3">
        <v>108</v>
      </c>
      <c r="B28" s="3">
        <v>7</v>
      </c>
      <c r="C28" s="3" t="s">
        <v>2672</v>
      </c>
      <c r="D28" s="4" t="s">
        <v>2771</v>
      </c>
      <c r="E28" s="4" t="s">
        <v>427</v>
      </c>
      <c r="F28" s="3">
        <v>20</v>
      </c>
      <c r="G28" s="3" t="s">
        <v>2674</v>
      </c>
      <c r="H28" s="3" t="s">
        <v>2668</v>
      </c>
    </row>
    <row r="29" spans="1:8" customFormat="1" ht="16.149999999999999" hidden="1" x14ac:dyDescent="0.3">
      <c r="A29" s="3">
        <v>108</v>
      </c>
      <c r="B29" s="3">
        <v>7</v>
      </c>
      <c r="C29" s="3" t="s">
        <v>2672</v>
      </c>
      <c r="D29" s="4" t="s">
        <v>3260</v>
      </c>
      <c r="E29" s="4" t="s">
        <v>3261</v>
      </c>
      <c r="F29" s="3">
        <v>50</v>
      </c>
      <c r="G29" s="3" t="s">
        <v>2674</v>
      </c>
      <c r="H29" s="3" t="s">
        <v>2668</v>
      </c>
    </row>
    <row r="30" spans="1:8" customFormat="1" ht="16.149999999999999" hidden="1" x14ac:dyDescent="0.3">
      <c r="A30" s="3">
        <v>108</v>
      </c>
      <c r="B30" s="3">
        <v>7</v>
      </c>
      <c r="C30" s="3" t="s">
        <v>2672</v>
      </c>
      <c r="D30" s="4" t="s">
        <v>3164</v>
      </c>
      <c r="E30" s="4" t="s">
        <v>114</v>
      </c>
      <c r="F30" s="3">
        <v>20</v>
      </c>
      <c r="G30" s="3" t="s">
        <v>2674</v>
      </c>
      <c r="H30" s="3" t="s">
        <v>2668</v>
      </c>
    </row>
    <row r="31" spans="1:8" customFormat="1" ht="16.149999999999999" hidden="1" x14ac:dyDescent="0.3">
      <c r="A31" s="3">
        <v>108</v>
      </c>
      <c r="B31" s="3">
        <v>7</v>
      </c>
      <c r="C31" s="3" t="s">
        <v>2672</v>
      </c>
      <c r="D31" s="4" t="s">
        <v>2729</v>
      </c>
      <c r="E31" s="4" t="s">
        <v>3213</v>
      </c>
      <c r="F31" s="3">
        <v>30</v>
      </c>
      <c r="G31" s="3" t="s">
        <v>2674</v>
      </c>
      <c r="H31" s="3" t="s">
        <v>2668</v>
      </c>
    </row>
    <row r="32" spans="1:8" customFormat="1" ht="16.149999999999999" hidden="1" x14ac:dyDescent="0.3">
      <c r="A32" s="3">
        <v>108</v>
      </c>
      <c r="B32" s="3">
        <v>7</v>
      </c>
      <c r="C32" s="3" t="s">
        <v>2672</v>
      </c>
      <c r="D32" s="4" t="s">
        <v>2846</v>
      </c>
      <c r="E32" s="4" t="s">
        <v>3342</v>
      </c>
      <c r="F32" s="3">
        <v>30</v>
      </c>
      <c r="G32" s="3" t="s">
        <v>2674</v>
      </c>
      <c r="H32" s="3" t="s">
        <v>3122</v>
      </c>
    </row>
    <row r="33" spans="1:8" customFormat="1" ht="16.149999999999999" hidden="1" x14ac:dyDescent="0.3">
      <c r="A33" s="3">
        <v>108</v>
      </c>
      <c r="B33" s="3">
        <v>7</v>
      </c>
      <c r="C33" s="3" t="s">
        <v>2672</v>
      </c>
      <c r="D33" s="4" t="s">
        <v>2688</v>
      </c>
      <c r="E33" s="4" t="s">
        <v>82</v>
      </c>
      <c r="F33" s="3">
        <v>15</v>
      </c>
      <c r="G33" s="3" t="s">
        <v>2674</v>
      </c>
      <c r="H33" s="3" t="s">
        <v>2668</v>
      </c>
    </row>
    <row r="34" spans="1:8" customFormat="1" ht="16.149999999999999" hidden="1" x14ac:dyDescent="0.3">
      <c r="A34" s="3">
        <v>108</v>
      </c>
      <c r="B34" s="3">
        <v>7</v>
      </c>
      <c r="C34" s="3" t="s">
        <v>2672</v>
      </c>
      <c r="D34" s="4" t="s">
        <v>2741</v>
      </c>
      <c r="E34" s="4" t="s">
        <v>3228</v>
      </c>
      <c r="F34" s="3">
        <v>15</v>
      </c>
      <c r="G34" s="3" t="s">
        <v>2674</v>
      </c>
      <c r="H34" s="3" t="s">
        <v>3127</v>
      </c>
    </row>
    <row r="35" spans="1:8" customFormat="1" ht="16.149999999999999" hidden="1" x14ac:dyDescent="0.3">
      <c r="A35" s="3">
        <v>108</v>
      </c>
      <c r="B35" s="3">
        <v>7</v>
      </c>
      <c r="C35" s="3" t="s">
        <v>2672</v>
      </c>
      <c r="D35" s="4" t="s">
        <v>2754</v>
      </c>
      <c r="E35" s="4" t="s">
        <v>3242</v>
      </c>
      <c r="F35" s="3">
        <v>20</v>
      </c>
      <c r="G35" s="3" t="s">
        <v>2674</v>
      </c>
      <c r="H35" s="3" t="s">
        <v>3127</v>
      </c>
    </row>
    <row r="36" spans="1:8" customFormat="1" ht="16.149999999999999" hidden="1" x14ac:dyDescent="0.3">
      <c r="A36" s="3">
        <v>108</v>
      </c>
      <c r="B36" s="3">
        <v>7</v>
      </c>
      <c r="C36" s="3" t="s">
        <v>2672</v>
      </c>
      <c r="D36" s="4" t="s">
        <v>2756</v>
      </c>
      <c r="E36" s="4" t="s">
        <v>369</v>
      </c>
      <c r="F36" s="3">
        <v>50</v>
      </c>
      <c r="G36" s="3" t="s">
        <v>2674</v>
      </c>
      <c r="H36" s="3" t="s">
        <v>3123</v>
      </c>
    </row>
    <row r="37" spans="1:8" ht="33" x14ac:dyDescent="0.25">
      <c r="A37" s="9">
        <v>108</v>
      </c>
      <c r="B37" s="9">
        <v>7</v>
      </c>
      <c r="C37" s="9" t="s">
        <v>2672</v>
      </c>
      <c r="D37" s="7" t="s">
        <v>2788</v>
      </c>
      <c r="E37" s="7" t="s">
        <v>3273</v>
      </c>
      <c r="F37" s="9">
        <v>20</v>
      </c>
      <c r="G37" s="9" t="s">
        <v>2674</v>
      </c>
      <c r="H37" s="9" t="s">
        <v>2670</v>
      </c>
    </row>
    <row r="38" spans="1:8" ht="33" x14ac:dyDescent="0.25">
      <c r="A38" s="9">
        <v>108</v>
      </c>
      <c r="B38" s="9">
        <v>7</v>
      </c>
      <c r="C38" s="9" t="s">
        <v>2672</v>
      </c>
      <c r="D38" s="7" t="s">
        <v>2833</v>
      </c>
      <c r="E38" s="7" t="s">
        <v>3329</v>
      </c>
      <c r="F38" s="9">
        <v>300</v>
      </c>
      <c r="G38" s="9" t="s">
        <v>2674</v>
      </c>
      <c r="H38" s="9" t="s">
        <v>2670</v>
      </c>
    </row>
    <row r="39" spans="1:8" ht="33" x14ac:dyDescent="0.25">
      <c r="A39" s="9">
        <v>108</v>
      </c>
      <c r="B39" s="9">
        <v>7</v>
      </c>
      <c r="C39" s="9" t="s">
        <v>2672</v>
      </c>
      <c r="D39" s="7" t="s">
        <v>2799</v>
      </c>
      <c r="E39" s="7" t="s">
        <v>3284</v>
      </c>
      <c r="F39" s="9">
        <v>40</v>
      </c>
      <c r="G39" s="9" t="s">
        <v>2674</v>
      </c>
      <c r="H39" s="9" t="s">
        <v>2670</v>
      </c>
    </row>
    <row r="40" spans="1:8" ht="33" x14ac:dyDescent="0.25">
      <c r="A40" s="9">
        <v>108</v>
      </c>
      <c r="B40" s="9">
        <v>7</v>
      </c>
      <c r="C40" s="9" t="s">
        <v>2672</v>
      </c>
      <c r="D40" s="7" t="s">
        <v>2708</v>
      </c>
      <c r="E40" s="7" t="s">
        <v>3189</v>
      </c>
      <c r="F40" s="9">
        <v>20</v>
      </c>
      <c r="G40" s="9" t="s">
        <v>2674</v>
      </c>
      <c r="H40" s="9" t="s">
        <v>2670</v>
      </c>
    </row>
    <row r="41" spans="1:8" ht="33" x14ac:dyDescent="0.25">
      <c r="A41" s="9">
        <v>108</v>
      </c>
      <c r="B41" s="9">
        <v>7</v>
      </c>
      <c r="C41" s="9" t="s">
        <v>2672</v>
      </c>
      <c r="D41" s="7" t="s">
        <v>2737</v>
      </c>
      <c r="E41" s="7" t="s">
        <v>3224</v>
      </c>
      <c r="F41" s="9">
        <v>10</v>
      </c>
      <c r="G41" s="9" t="s">
        <v>2674</v>
      </c>
      <c r="H41" s="9" t="s">
        <v>2670</v>
      </c>
    </row>
    <row r="42" spans="1:8" customFormat="1" ht="16.149999999999999" hidden="1" x14ac:dyDescent="0.3">
      <c r="A42" s="3">
        <v>108</v>
      </c>
      <c r="B42" s="3">
        <v>7</v>
      </c>
      <c r="C42" s="3" t="s">
        <v>2672</v>
      </c>
      <c r="D42" s="4" t="s">
        <v>2807</v>
      </c>
      <c r="E42" s="4" t="s">
        <v>3291</v>
      </c>
      <c r="F42" s="3">
        <v>40</v>
      </c>
      <c r="G42" s="3" t="s">
        <v>2674</v>
      </c>
      <c r="H42" s="3" t="s">
        <v>3129</v>
      </c>
    </row>
    <row r="43" spans="1:8" customFormat="1" ht="16.149999999999999" hidden="1" x14ac:dyDescent="0.3">
      <c r="A43" s="3">
        <v>108</v>
      </c>
      <c r="B43" s="3">
        <v>7</v>
      </c>
      <c r="C43" s="3" t="s">
        <v>2672</v>
      </c>
      <c r="D43" s="4" t="s">
        <v>3183</v>
      </c>
      <c r="E43" s="4" t="s">
        <v>3184</v>
      </c>
      <c r="F43" s="3">
        <v>20</v>
      </c>
      <c r="G43" s="3" t="s">
        <v>2674</v>
      </c>
      <c r="H43" s="3" t="s">
        <v>3128</v>
      </c>
    </row>
    <row r="44" spans="1:8" customFormat="1" ht="16.149999999999999" hidden="1" x14ac:dyDescent="0.3">
      <c r="A44" s="3">
        <v>108</v>
      </c>
      <c r="B44" s="3">
        <v>7</v>
      </c>
      <c r="C44" s="3" t="s">
        <v>2672</v>
      </c>
      <c r="D44" s="4" t="s">
        <v>3231</v>
      </c>
      <c r="E44" s="4" t="s">
        <v>3232</v>
      </c>
      <c r="F44" s="3">
        <v>50</v>
      </c>
      <c r="G44" s="3" t="s">
        <v>2674</v>
      </c>
      <c r="H44" s="3" t="s">
        <v>3122</v>
      </c>
    </row>
    <row r="45" spans="1:8" customFormat="1" ht="16.149999999999999" hidden="1" x14ac:dyDescent="0.3">
      <c r="A45" s="3">
        <v>108</v>
      </c>
      <c r="B45" s="3">
        <v>7</v>
      </c>
      <c r="C45" s="3" t="s">
        <v>2672</v>
      </c>
      <c r="D45" s="4" t="s">
        <v>2746</v>
      </c>
      <c r="E45" s="4" t="s">
        <v>3238</v>
      </c>
      <c r="F45" s="3">
        <v>30</v>
      </c>
      <c r="G45" s="3" t="s">
        <v>2674</v>
      </c>
      <c r="H45" s="3" t="s">
        <v>3131</v>
      </c>
    </row>
    <row r="46" spans="1:8" customFormat="1" ht="16.149999999999999" hidden="1" x14ac:dyDescent="0.3">
      <c r="A46" s="3">
        <v>108</v>
      </c>
      <c r="B46" s="3">
        <v>7</v>
      </c>
      <c r="C46" s="3" t="s">
        <v>2672</v>
      </c>
      <c r="D46" s="4" t="s">
        <v>3322</v>
      </c>
      <c r="E46" s="4" t="s">
        <v>3323</v>
      </c>
      <c r="F46" s="3">
        <v>30</v>
      </c>
      <c r="G46" s="3" t="s">
        <v>2674</v>
      </c>
      <c r="H46" s="3" t="s">
        <v>3131</v>
      </c>
    </row>
    <row r="47" spans="1:8" customFormat="1" ht="16.149999999999999" hidden="1" x14ac:dyDescent="0.3">
      <c r="A47" s="3">
        <v>108</v>
      </c>
      <c r="B47" s="3">
        <v>7</v>
      </c>
      <c r="C47" s="3" t="s">
        <v>2672</v>
      </c>
      <c r="D47" s="4" t="s">
        <v>2687</v>
      </c>
      <c r="E47" s="4" t="s">
        <v>3150</v>
      </c>
      <c r="F47" s="3">
        <v>20</v>
      </c>
      <c r="G47" s="3" t="s">
        <v>2674</v>
      </c>
      <c r="H47" s="3" t="s">
        <v>3126</v>
      </c>
    </row>
    <row r="48" spans="1:8" customFormat="1" ht="16.149999999999999" hidden="1" x14ac:dyDescent="0.3">
      <c r="A48" s="3">
        <v>108</v>
      </c>
      <c r="B48" s="3">
        <v>7</v>
      </c>
      <c r="C48" s="3" t="s">
        <v>2672</v>
      </c>
      <c r="D48" s="4" t="s">
        <v>2819</v>
      </c>
      <c r="E48" s="4" t="s">
        <v>600</v>
      </c>
      <c r="F48" s="3">
        <v>20</v>
      </c>
      <c r="G48" s="3" t="s">
        <v>2674</v>
      </c>
      <c r="H48" s="3" t="s">
        <v>3127</v>
      </c>
    </row>
    <row r="49" spans="1:8" customFormat="1" ht="16.149999999999999" hidden="1" x14ac:dyDescent="0.3">
      <c r="A49" s="3">
        <v>108</v>
      </c>
      <c r="B49" s="3">
        <v>7</v>
      </c>
      <c r="C49" s="3" t="s">
        <v>2672</v>
      </c>
      <c r="D49" s="4" t="s">
        <v>2824</v>
      </c>
      <c r="E49" s="4" t="s">
        <v>3242</v>
      </c>
      <c r="F49" s="3">
        <v>20</v>
      </c>
      <c r="G49" s="3" t="s">
        <v>2674</v>
      </c>
      <c r="H49" s="3" t="s">
        <v>3127</v>
      </c>
    </row>
    <row r="50" spans="1:8" customFormat="1" ht="16.149999999999999" hidden="1" x14ac:dyDescent="0.3">
      <c r="A50" s="3">
        <v>108</v>
      </c>
      <c r="B50" s="3">
        <v>7</v>
      </c>
      <c r="C50" s="3" t="s">
        <v>2672</v>
      </c>
      <c r="D50" s="4" t="s">
        <v>2715</v>
      </c>
      <c r="E50" s="4" t="s">
        <v>3197</v>
      </c>
      <c r="F50" s="3">
        <v>20</v>
      </c>
      <c r="G50" s="3" t="s">
        <v>2674</v>
      </c>
      <c r="H50" s="3" t="s">
        <v>3127</v>
      </c>
    </row>
    <row r="51" spans="1:8" customFormat="1" ht="16.149999999999999" hidden="1" x14ac:dyDescent="0.3">
      <c r="A51" s="3">
        <v>108</v>
      </c>
      <c r="B51" s="3">
        <v>7</v>
      </c>
      <c r="C51" s="3" t="s">
        <v>2672</v>
      </c>
      <c r="D51" s="4" t="s">
        <v>3332</v>
      </c>
      <c r="E51" s="4" t="s">
        <v>3333</v>
      </c>
      <c r="F51" s="3">
        <v>10</v>
      </c>
      <c r="G51" s="3" t="s">
        <v>2674</v>
      </c>
      <c r="H51" s="3" t="s">
        <v>3127</v>
      </c>
    </row>
    <row r="52" spans="1:8" customFormat="1" ht="16.149999999999999" hidden="1" x14ac:dyDescent="0.3">
      <c r="A52" s="3">
        <v>108</v>
      </c>
      <c r="B52" s="3">
        <v>7</v>
      </c>
      <c r="C52" s="3" t="s">
        <v>2672</v>
      </c>
      <c r="D52" s="4" t="s">
        <v>2816</v>
      </c>
      <c r="E52" s="4" t="s">
        <v>3308</v>
      </c>
      <c r="F52" s="3">
        <v>10</v>
      </c>
      <c r="G52" s="3" t="s">
        <v>2674</v>
      </c>
      <c r="H52" s="3" t="s">
        <v>3127</v>
      </c>
    </row>
    <row r="53" spans="1:8" customFormat="1" ht="16.149999999999999" hidden="1" x14ac:dyDescent="0.3">
      <c r="A53" s="3">
        <v>108</v>
      </c>
      <c r="B53" s="3">
        <v>7</v>
      </c>
      <c r="C53" s="3" t="s">
        <v>2672</v>
      </c>
      <c r="D53" s="4" t="s">
        <v>2765</v>
      </c>
      <c r="E53" s="4" t="s">
        <v>3251</v>
      </c>
      <c r="F53" s="3">
        <v>10</v>
      </c>
      <c r="G53" s="3" t="s">
        <v>2674</v>
      </c>
      <c r="H53" s="3" t="s">
        <v>3127</v>
      </c>
    </row>
    <row r="54" spans="1:8" customFormat="1" ht="16.149999999999999" hidden="1" x14ac:dyDescent="0.3">
      <c r="A54" s="3">
        <v>108</v>
      </c>
      <c r="B54" s="3">
        <v>7</v>
      </c>
      <c r="C54" s="3" t="s">
        <v>2672</v>
      </c>
      <c r="D54" s="4" t="s">
        <v>3300</v>
      </c>
      <c r="E54" s="4" t="s">
        <v>3301</v>
      </c>
      <c r="F54" s="3">
        <v>15</v>
      </c>
      <c r="G54" s="3" t="s">
        <v>2674</v>
      </c>
      <c r="H54" s="3" t="s">
        <v>3127</v>
      </c>
    </row>
    <row r="55" spans="1:8" customFormat="1" ht="16.149999999999999" hidden="1" x14ac:dyDescent="0.3">
      <c r="A55" s="3">
        <v>108</v>
      </c>
      <c r="B55" s="3">
        <v>7</v>
      </c>
      <c r="C55" s="3" t="s">
        <v>2672</v>
      </c>
      <c r="D55" s="4" t="s">
        <v>2843</v>
      </c>
      <c r="E55" s="4" t="s">
        <v>3345</v>
      </c>
      <c r="F55" s="3">
        <v>10</v>
      </c>
      <c r="G55" s="3" t="s">
        <v>2674</v>
      </c>
      <c r="H55" s="3" t="s">
        <v>3127</v>
      </c>
    </row>
    <row r="56" spans="1:8" customFormat="1" ht="16.149999999999999" hidden="1" x14ac:dyDescent="0.3">
      <c r="A56" s="3">
        <v>108</v>
      </c>
      <c r="B56" s="3">
        <v>7</v>
      </c>
      <c r="C56" s="3" t="s">
        <v>2672</v>
      </c>
      <c r="D56" s="4" t="s">
        <v>2836</v>
      </c>
      <c r="E56" s="4" t="s">
        <v>668</v>
      </c>
      <c r="F56" s="3">
        <v>20</v>
      </c>
      <c r="G56" s="3" t="s">
        <v>2674</v>
      </c>
      <c r="H56" s="3" t="s">
        <v>3127</v>
      </c>
    </row>
    <row r="57" spans="1:8" customFormat="1" ht="16.149999999999999" hidden="1" x14ac:dyDescent="0.3">
      <c r="A57" s="3">
        <v>108</v>
      </c>
      <c r="B57" s="3">
        <v>7</v>
      </c>
      <c r="C57" s="3" t="s">
        <v>2672</v>
      </c>
      <c r="D57" s="4" t="s">
        <v>2703</v>
      </c>
      <c r="E57" s="4" t="s">
        <v>3180</v>
      </c>
      <c r="F57" s="3">
        <v>20</v>
      </c>
      <c r="G57" s="3" t="s">
        <v>2674</v>
      </c>
      <c r="H57" s="3" t="s">
        <v>3127</v>
      </c>
    </row>
    <row r="58" spans="1:8" customFormat="1" ht="16.149999999999999" hidden="1" x14ac:dyDescent="0.3">
      <c r="A58" s="3">
        <v>108</v>
      </c>
      <c r="B58" s="3">
        <v>7</v>
      </c>
      <c r="C58" s="3" t="s">
        <v>2672</v>
      </c>
      <c r="D58" s="4" t="s">
        <v>3156</v>
      </c>
      <c r="E58" s="4" t="s">
        <v>85</v>
      </c>
      <c r="F58" s="3">
        <v>30</v>
      </c>
      <c r="G58" s="3" t="s">
        <v>2674</v>
      </c>
      <c r="H58" s="3" t="s">
        <v>3123</v>
      </c>
    </row>
    <row r="59" spans="1:8" customFormat="1" ht="16.149999999999999" hidden="1" x14ac:dyDescent="0.3">
      <c r="A59" s="3">
        <v>108</v>
      </c>
      <c r="B59" s="3">
        <v>7</v>
      </c>
      <c r="C59" s="3" t="s">
        <v>2672</v>
      </c>
      <c r="D59" s="4" t="s">
        <v>3158</v>
      </c>
      <c r="E59" s="4" t="s">
        <v>98</v>
      </c>
      <c r="F59" s="3">
        <v>30</v>
      </c>
      <c r="G59" s="3" t="s">
        <v>2674</v>
      </c>
      <c r="H59" s="3" t="s">
        <v>3123</v>
      </c>
    </row>
    <row r="60" spans="1:8" customFormat="1" ht="16.149999999999999" hidden="1" x14ac:dyDescent="0.3">
      <c r="A60" s="3">
        <v>108</v>
      </c>
      <c r="B60" s="3">
        <v>7</v>
      </c>
      <c r="C60" s="3" t="s">
        <v>2672</v>
      </c>
      <c r="D60" s="4" t="s">
        <v>2702</v>
      </c>
      <c r="E60" s="4" t="s">
        <v>3177</v>
      </c>
      <c r="F60" s="3">
        <v>50</v>
      </c>
      <c r="G60" s="3" t="s">
        <v>2674</v>
      </c>
      <c r="H60" s="3" t="s">
        <v>3123</v>
      </c>
    </row>
    <row r="61" spans="1:8" customFormat="1" ht="16.149999999999999" hidden="1" x14ac:dyDescent="0.3">
      <c r="A61" s="3">
        <v>108</v>
      </c>
      <c r="B61" s="3">
        <v>7</v>
      </c>
      <c r="C61" s="3" t="s">
        <v>2672</v>
      </c>
      <c r="D61" s="4" t="s">
        <v>2675</v>
      </c>
      <c r="E61" s="4" t="s">
        <v>3140</v>
      </c>
      <c r="F61" s="3">
        <v>20</v>
      </c>
      <c r="G61" s="3" t="s">
        <v>2674</v>
      </c>
      <c r="H61" s="3" t="s">
        <v>3123</v>
      </c>
    </row>
    <row r="62" spans="1:8" customFormat="1" ht="16.149999999999999" hidden="1" x14ac:dyDescent="0.3">
      <c r="A62" s="3">
        <v>108</v>
      </c>
      <c r="B62" s="3">
        <v>7</v>
      </c>
      <c r="C62" s="3" t="s">
        <v>2672</v>
      </c>
      <c r="D62" s="4" t="s">
        <v>2753</v>
      </c>
      <c r="E62" s="4" t="s">
        <v>3244</v>
      </c>
      <c r="F62" s="3">
        <v>50</v>
      </c>
      <c r="G62" s="3" t="s">
        <v>2674</v>
      </c>
      <c r="H62" s="3" t="s">
        <v>3123</v>
      </c>
    </row>
    <row r="63" spans="1:8" customFormat="1" ht="16.149999999999999" hidden="1" x14ac:dyDescent="0.3">
      <c r="A63" s="3">
        <v>108</v>
      </c>
      <c r="B63" s="3">
        <v>7</v>
      </c>
      <c r="C63" s="3" t="s">
        <v>2672</v>
      </c>
      <c r="D63" s="4" t="s">
        <v>2755</v>
      </c>
      <c r="E63" s="4" t="s">
        <v>3246</v>
      </c>
      <c r="F63" s="3">
        <v>20</v>
      </c>
      <c r="G63" s="3" t="s">
        <v>2674</v>
      </c>
      <c r="H63" s="3" t="s">
        <v>3123</v>
      </c>
    </row>
    <row r="64" spans="1:8" customFormat="1" ht="16.149999999999999" hidden="1" x14ac:dyDescent="0.3">
      <c r="A64" s="3">
        <v>108</v>
      </c>
      <c r="B64" s="3">
        <v>7</v>
      </c>
      <c r="C64" s="3" t="s">
        <v>2672</v>
      </c>
      <c r="D64" s="4" t="s">
        <v>3222</v>
      </c>
      <c r="E64" s="4" t="s">
        <v>3223</v>
      </c>
      <c r="F64" s="3">
        <v>20</v>
      </c>
      <c r="G64" s="3" t="s">
        <v>2674</v>
      </c>
      <c r="H64" s="3" t="s">
        <v>3123</v>
      </c>
    </row>
    <row r="65" spans="1:8" customFormat="1" ht="16.149999999999999" hidden="1" x14ac:dyDescent="0.3">
      <c r="A65" s="3">
        <v>108</v>
      </c>
      <c r="B65" s="3">
        <v>7</v>
      </c>
      <c r="C65" s="3" t="s">
        <v>2672</v>
      </c>
      <c r="D65" s="4" t="s">
        <v>2790</v>
      </c>
      <c r="E65" s="4" t="s">
        <v>3278</v>
      </c>
      <c r="F65" s="3">
        <v>20</v>
      </c>
      <c r="G65" s="3" t="s">
        <v>2674</v>
      </c>
      <c r="H65" s="3" t="s">
        <v>3123</v>
      </c>
    </row>
    <row r="66" spans="1:8" customFormat="1" ht="16.149999999999999" hidden="1" x14ac:dyDescent="0.3">
      <c r="A66" s="3">
        <v>108</v>
      </c>
      <c r="B66" s="3">
        <v>7</v>
      </c>
      <c r="C66" s="3" t="s">
        <v>2672</v>
      </c>
      <c r="D66" s="4" t="s">
        <v>2761</v>
      </c>
      <c r="E66" s="4" t="s">
        <v>3247</v>
      </c>
      <c r="F66" s="3">
        <v>20</v>
      </c>
      <c r="G66" s="3" t="s">
        <v>2674</v>
      </c>
      <c r="H66" s="3" t="s">
        <v>3123</v>
      </c>
    </row>
    <row r="67" spans="1:8" customFormat="1" ht="16.149999999999999" hidden="1" x14ac:dyDescent="0.3">
      <c r="A67" s="3">
        <v>108</v>
      </c>
      <c r="B67" s="3">
        <v>7</v>
      </c>
      <c r="C67" s="3" t="s">
        <v>2672</v>
      </c>
      <c r="D67" s="4" t="s">
        <v>2831</v>
      </c>
      <c r="E67" s="4" t="s">
        <v>3320</v>
      </c>
      <c r="F67" s="3">
        <v>20</v>
      </c>
      <c r="G67" s="3" t="s">
        <v>2674</v>
      </c>
      <c r="H67" s="3" t="s">
        <v>3123</v>
      </c>
    </row>
    <row r="68" spans="1:8" customFormat="1" ht="16.149999999999999" hidden="1" x14ac:dyDescent="0.3">
      <c r="A68" s="3">
        <v>108</v>
      </c>
      <c r="B68" s="3">
        <v>7</v>
      </c>
      <c r="C68" s="3" t="s">
        <v>2672</v>
      </c>
      <c r="D68" s="4" t="s">
        <v>2728</v>
      </c>
      <c r="E68" s="4" t="s">
        <v>3210</v>
      </c>
      <c r="F68" s="3">
        <v>20</v>
      </c>
      <c r="G68" s="3" t="s">
        <v>2674</v>
      </c>
      <c r="H68" s="3" t="s">
        <v>3123</v>
      </c>
    </row>
    <row r="69" spans="1:8" customFormat="1" ht="16.149999999999999" hidden="1" x14ac:dyDescent="0.3">
      <c r="A69" s="3">
        <v>108</v>
      </c>
      <c r="B69" s="3">
        <v>7</v>
      </c>
      <c r="C69" s="3" t="s">
        <v>2672</v>
      </c>
      <c r="D69" s="4" t="s">
        <v>2762</v>
      </c>
      <c r="E69" s="4" t="s">
        <v>3250</v>
      </c>
      <c r="F69" s="3">
        <v>20</v>
      </c>
      <c r="G69" s="3" t="s">
        <v>2674</v>
      </c>
      <c r="H69" s="3" t="s">
        <v>3123</v>
      </c>
    </row>
    <row r="70" spans="1:8" customFormat="1" ht="16.149999999999999" hidden="1" x14ac:dyDescent="0.3">
      <c r="A70" s="3">
        <v>108</v>
      </c>
      <c r="B70" s="3">
        <v>7</v>
      </c>
      <c r="C70" s="3" t="s">
        <v>2672</v>
      </c>
      <c r="D70" s="4" t="s">
        <v>2814</v>
      </c>
      <c r="E70" s="4" t="s">
        <v>197</v>
      </c>
      <c r="F70" s="3">
        <v>20</v>
      </c>
      <c r="G70" s="3" t="s">
        <v>2674</v>
      </c>
      <c r="H70" s="3" t="s">
        <v>3123</v>
      </c>
    </row>
    <row r="71" spans="1:8" customFormat="1" ht="16.149999999999999" hidden="1" x14ac:dyDescent="0.3">
      <c r="A71" s="3">
        <v>108</v>
      </c>
      <c r="B71" s="3">
        <v>7</v>
      </c>
      <c r="C71" s="3" t="s">
        <v>2672</v>
      </c>
      <c r="D71" s="4" t="s">
        <v>2725</v>
      </c>
      <c r="E71" s="4" t="s">
        <v>3210</v>
      </c>
      <c r="F71" s="3">
        <v>20</v>
      </c>
      <c r="G71" s="3" t="s">
        <v>2674</v>
      </c>
      <c r="H71" s="3" t="s">
        <v>3123</v>
      </c>
    </row>
    <row r="72" spans="1:8" customFormat="1" ht="16.149999999999999" hidden="1" x14ac:dyDescent="0.3">
      <c r="A72" s="3">
        <v>108</v>
      </c>
      <c r="B72" s="3">
        <v>7</v>
      </c>
      <c r="C72" s="3" t="s">
        <v>2672</v>
      </c>
      <c r="D72" s="4" t="s">
        <v>2803</v>
      </c>
      <c r="E72" s="4" t="s">
        <v>3286</v>
      </c>
      <c r="F72" s="3">
        <v>19.736000000000001</v>
      </c>
      <c r="G72" s="3" t="s">
        <v>2674</v>
      </c>
      <c r="H72" s="3" t="s">
        <v>3123</v>
      </c>
    </row>
    <row r="73" spans="1:8" customFormat="1" ht="16.149999999999999" hidden="1" x14ac:dyDescent="0.3">
      <c r="A73" s="3">
        <v>108</v>
      </c>
      <c r="B73" s="3">
        <v>7</v>
      </c>
      <c r="C73" s="3" t="s">
        <v>2672</v>
      </c>
      <c r="D73" s="4" t="s">
        <v>2781</v>
      </c>
      <c r="E73" s="4" t="s">
        <v>3210</v>
      </c>
      <c r="F73" s="3">
        <v>20</v>
      </c>
      <c r="G73" s="3" t="s">
        <v>2674</v>
      </c>
      <c r="H73" s="3" t="s">
        <v>3123</v>
      </c>
    </row>
    <row r="74" spans="1:8" customFormat="1" ht="16.149999999999999" hidden="1" x14ac:dyDescent="0.3">
      <c r="A74" s="3">
        <v>108</v>
      </c>
      <c r="B74" s="3">
        <v>7</v>
      </c>
      <c r="C74" s="3" t="s">
        <v>2672</v>
      </c>
      <c r="D74" s="4" t="s">
        <v>2693</v>
      </c>
      <c r="E74" s="4" t="s">
        <v>3159</v>
      </c>
      <c r="F74" s="3">
        <v>20</v>
      </c>
      <c r="G74" s="3" t="s">
        <v>2674</v>
      </c>
      <c r="H74" s="3" t="s">
        <v>3123</v>
      </c>
    </row>
    <row r="75" spans="1:8" customFormat="1" ht="16.149999999999999" hidden="1" x14ac:dyDescent="0.3">
      <c r="A75" s="3">
        <v>108</v>
      </c>
      <c r="B75" s="3">
        <v>7</v>
      </c>
      <c r="C75" s="3" t="s">
        <v>2672</v>
      </c>
      <c r="D75" s="4" t="s">
        <v>2726</v>
      </c>
      <c r="E75" s="4" t="s">
        <v>3209</v>
      </c>
      <c r="F75" s="3">
        <v>20</v>
      </c>
      <c r="G75" s="3" t="s">
        <v>2674</v>
      </c>
      <c r="H75" s="3" t="s">
        <v>3123</v>
      </c>
    </row>
    <row r="76" spans="1:8" customFormat="1" ht="16.149999999999999" hidden="1" x14ac:dyDescent="0.3">
      <c r="A76" s="3">
        <v>108</v>
      </c>
      <c r="B76" s="3">
        <v>7</v>
      </c>
      <c r="C76" s="3" t="s">
        <v>2672</v>
      </c>
      <c r="D76" s="4" t="s">
        <v>2745</v>
      </c>
      <c r="E76" s="4" t="s">
        <v>331</v>
      </c>
      <c r="F76" s="3">
        <v>20</v>
      </c>
      <c r="G76" s="3" t="s">
        <v>2674</v>
      </c>
      <c r="H76" s="3" t="s">
        <v>3123</v>
      </c>
    </row>
    <row r="77" spans="1:8" customFormat="1" ht="16.149999999999999" hidden="1" x14ac:dyDescent="0.3">
      <c r="A77" s="3">
        <v>108</v>
      </c>
      <c r="B77" s="3">
        <v>7</v>
      </c>
      <c r="C77" s="3" t="s">
        <v>2672</v>
      </c>
      <c r="D77" s="4" t="s">
        <v>2825</v>
      </c>
      <c r="E77" s="4" t="s">
        <v>3314</v>
      </c>
      <c r="F77" s="3">
        <v>20</v>
      </c>
      <c r="G77" s="3" t="s">
        <v>2674</v>
      </c>
      <c r="H77" s="3" t="s">
        <v>3123</v>
      </c>
    </row>
    <row r="78" spans="1:8" customFormat="1" ht="16.149999999999999" hidden="1" x14ac:dyDescent="0.3">
      <c r="A78" s="3">
        <v>108</v>
      </c>
      <c r="B78" s="3">
        <v>7</v>
      </c>
      <c r="C78" s="3" t="s">
        <v>2672</v>
      </c>
      <c r="D78" s="4" t="s">
        <v>2724</v>
      </c>
      <c r="E78" s="4" t="s">
        <v>246</v>
      </c>
      <c r="F78" s="3">
        <v>30</v>
      </c>
      <c r="G78" s="3" t="s">
        <v>2674</v>
      </c>
      <c r="H78" s="3" t="s">
        <v>3123</v>
      </c>
    </row>
    <row r="79" spans="1:8" customFormat="1" ht="16.149999999999999" hidden="1" x14ac:dyDescent="0.3">
      <c r="A79" s="3">
        <v>108</v>
      </c>
      <c r="B79" s="3">
        <v>7</v>
      </c>
      <c r="C79" s="3" t="s">
        <v>2672</v>
      </c>
      <c r="D79" s="4" t="s">
        <v>3167</v>
      </c>
      <c r="E79" s="4" t="s">
        <v>369</v>
      </c>
      <c r="F79" s="3">
        <v>20</v>
      </c>
      <c r="G79" s="3" t="s">
        <v>2674</v>
      </c>
      <c r="H79" s="3" t="s">
        <v>3123</v>
      </c>
    </row>
    <row r="80" spans="1:8" customFormat="1" ht="16.149999999999999" hidden="1" x14ac:dyDescent="0.3">
      <c r="A80" s="3">
        <v>108</v>
      </c>
      <c r="B80" s="3">
        <v>7</v>
      </c>
      <c r="C80" s="3" t="s">
        <v>2672</v>
      </c>
      <c r="D80" s="4" t="s">
        <v>2772</v>
      </c>
      <c r="E80" s="4" t="s">
        <v>3259</v>
      </c>
      <c r="F80" s="3">
        <v>30</v>
      </c>
      <c r="G80" s="3" t="s">
        <v>2674</v>
      </c>
      <c r="H80" s="3" t="s">
        <v>3123</v>
      </c>
    </row>
    <row r="81" spans="1:8" customFormat="1" ht="16.149999999999999" hidden="1" x14ac:dyDescent="0.3">
      <c r="A81" s="3">
        <v>108</v>
      </c>
      <c r="B81" s="3">
        <v>7</v>
      </c>
      <c r="C81" s="3" t="s">
        <v>2672</v>
      </c>
      <c r="D81" s="4" t="s">
        <v>2721</v>
      </c>
      <c r="E81" s="4" t="s">
        <v>3207</v>
      </c>
      <c r="F81" s="3">
        <v>50</v>
      </c>
      <c r="G81" s="3" t="s">
        <v>2674</v>
      </c>
      <c r="H81" s="3" t="s">
        <v>3123</v>
      </c>
    </row>
    <row r="82" spans="1:8" customFormat="1" ht="16.149999999999999" hidden="1" x14ac:dyDescent="0.3">
      <c r="A82" s="3">
        <v>108</v>
      </c>
      <c r="B82" s="3">
        <v>7</v>
      </c>
      <c r="C82" s="3" t="s">
        <v>2672</v>
      </c>
      <c r="D82" s="4" t="s">
        <v>2776</v>
      </c>
      <c r="E82" s="4" t="s">
        <v>3263</v>
      </c>
      <c r="F82" s="3">
        <v>100</v>
      </c>
      <c r="G82" s="3" t="s">
        <v>2674</v>
      </c>
      <c r="H82" s="3" t="s">
        <v>3123</v>
      </c>
    </row>
    <row r="83" spans="1:8" customFormat="1" ht="16.149999999999999" hidden="1" x14ac:dyDescent="0.3">
      <c r="A83" s="3">
        <v>108</v>
      </c>
      <c r="B83" s="3">
        <v>7</v>
      </c>
      <c r="C83" s="3" t="s">
        <v>2672</v>
      </c>
      <c r="D83" s="4" t="s">
        <v>2795</v>
      </c>
      <c r="E83" s="4" t="s">
        <v>3281</v>
      </c>
      <c r="F83" s="3">
        <v>20</v>
      </c>
      <c r="G83" s="3" t="s">
        <v>2674</v>
      </c>
      <c r="H83" s="3" t="s">
        <v>3123</v>
      </c>
    </row>
    <row r="84" spans="1:8" customFormat="1" ht="16.149999999999999" hidden="1" x14ac:dyDescent="0.3">
      <c r="A84" s="3">
        <v>108</v>
      </c>
      <c r="B84" s="3">
        <v>7</v>
      </c>
      <c r="C84" s="3" t="s">
        <v>2672</v>
      </c>
      <c r="D84" s="4" t="s">
        <v>2748</v>
      </c>
      <c r="E84" s="4" t="s">
        <v>3241</v>
      </c>
      <c r="F84" s="3">
        <v>20</v>
      </c>
      <c r="G84" s="3" t="s">
        <v>2674</v>
      </c>
      <c r="H84" s="3" t="s">
        <v>3123</v>
      </c>
    </row>
    <row r="85" spans="1:8" customFormat="1" ht="16.149999999999999" hidden="1" x14ac:dyDescent="0.3">
      <c r="A85" s="3">
        <v>108</v>
      </c>
      <c r="B85" s="3">
        <v>7</v>
      </c>
      <c r="C85" s="3" t="s">
        <v>2672</v>
      </c>
      <c r="D85" s="4" t="s">
        <v>2692</v>
      </c>
      <c r="E85" s="4" t="s">
        <v>98</v>
      </c>
      <c r="F85" s="3">
        <v>20</v>
      </c>
      <c r="G85" s="3" t="s">
        <v>2674</v>
      </c>
      <c r="H85" s="3" t="s">
        <v>3123</v>
      </c>
    </row>
    <row r="86" spans="1:8" customFormat="1" ht="16.149999999999999" hidden="1" x14ac:dyDescent="0.3">
      <c r="A86" s="3">
        <v>108</v>
      </c>
      <c r="B86" s="3">
        <v>7</v>
      </c>
      <c r="C86" s="3" t="s">
        <v>2672</v>
      </c>
      <c r="D86" s="4" t="s">
        <v>2760</v>
      </c>
      <c r="E86" s="4" t="s">
        <v>385</v>
      </c>
      <c r="F86" s="3">
        <v>20</v>
      </c>
      <c r="G86" s="3" t="s">
        <v>2674</v>
      </c>
      <c r="H86" s="3" t="s">
        <v>3123</v>
      </c>
    </row>
    <row r="87" spans="1:8" customFormat="1" ht="16.149999999999999" hidden="1" x14ac:dyDescent="0.3">
      <c r="A87" s="3">
        <v>108</v>
      </c>
      <c r="B87" s="3">
        <v>7</v>
      </c>
      <c r="C87" s="3" t="s">
        <v>2672</v>
      </c>
      <c r="D87" s="4" t="s">
        <v>2759</v>
      </c>
      <c r="E87" s="4" t="s">
        <v>382</v>
      </c>
      <c r="F87" s="3">
        <v>20</v>
      </c>
      <c r="G87" s="3" t="s">
        <v>2674</v>
      </c>
      <c r="H87" s="3" t="s">
        <v>3123</v>
      </c>
    </row>
    <row r="88" spans="1:8" customFormat="1" ht="16.149999999999999" hidden="1" x14ac:dyDescent="0.3">
      <c r="A88" s="3">
        <v>108</v>
      </c>
      <c r="B88" s="3">
        <v>7</v>
      </c>
      <c r="C88" s="3" t="s">
        <v>2672</v>
      </c>
      <c r="D88" s="4" t="s">
        <v>2742</v>
      </c>
      <c r="E88" s="4" t="s">
        <v>3226</v>
      </c>
      <c r="F88" s="3">
        <v>20</v>
      </c>
      <c r="G88" s="3" t="s">
        <v>2674</v>
      </c>
      <c r="H88" s="3" t="s">
        <v>3123</v>
      </c>
    </row>
    <row r="89" spans="1:8" customFormat="1" ht="16.149999999999999" hidden="1" x14ac:dyDescent="0.3">
      <c r="A89" s="3">
        <v>108</v>
      </c>
      <c r="B89" s="3">
        <v>7</v>
      </c>
      <c r="C89" s="3" t="s">
        <v>2672</v>
      </c>
      <c r="D89" s="4" t="s">
        <v>2779</v>
      </c>
      <c r="E89" s="4" t="s">
        <v>3266</v>
      </c>
      <c r="F89" s="3">
        <v>20</v>
      </c>
      <c r="G89" s="3" t="s">
        <v>2674</v>
      </c>
      <c r="H89" s="3" t="s">
        <v>3123</v>
      </c>
    </row>
    <row r="90" spans="1:8" customFormat="1" ht="16.149999999999999" hidden="1" x14ac:dyDescent="0.3">
      <c r="A90" s="3">
        <v>108</v>
      </c>
      <c r="B90" s="3">
        <v>7</v>
      </c>
      <c r="C90" s="3" t="s">
        <v>2672</v>
      </c>
      <c r="D90" s="4" t="s">
        <v>2780</v>
      </c>
      <c r="E90" s="4" t="s">
        <v>3266</v>
      </c>
      <c r="F90" s="3">
        <v>20</v>
      </c>
      <c r="G90" s="3" t="s">
        <v>2674</v>
      </c>
      <c r="H90" s="3" t="s">
        <v>3123</v>
      </c>
    </row>
    <row r="91" spans="1:8" customFormat="1" ht="16.149999999999999" hidden="1" x14ac:dyDescent="0.3">
      <c r="A91" s="3">
        <v>108</v>
      </c>
      <c r="B91" s="3">
        <v>7</v>
      </c>
      <c r="C91" s="3" t="s">
        <v>2672</v>
      </c>
      <c r="D91" s="4" t="s">
        <v>2705</v>
      </c>
      <c r="E91" s="4" t="s">
        <v>3185</v>
      </c>
      <c r="F91" s="3">
        <v>30</v>
      </c>
      <c r="G91" s="3" t="s">
        <v>2674</v>
      </c>
      <c r="H91" s="3" t="s">
        <v>3123</v>
      </c>
    </row>
    <row r="92" spans="1:8" customFormat="1" ht="16.149999999999999" hidden="1" x14ac:dyDescent="0.3">
      <c r="A92" s="3">
        <v>108</v>
      </c>
      <c r="B92" s="3">
        <v>7</v>
      </c>
      <c r="C92" s="3" t="s">
        <v>2672</v>
      </c>
      <c r="D92" s="4" t="s">
        <v>2734</v>
      </c>
      <c r="E92" s="4" t="s">
        <v>278</v>
      </c>
      <c r="F92" s="3">
        <v>20</v>
      </c>
      <c r="G92" s="3" t="s">
        <v>2674</v>
      </c>
      <c r="H92" s="3" t="s">
        <v>3123</v>
      </c>
    </row>
    <row r="93" spans="1:8" customFormat="1" ht="16.149999999999999" hidden="1" x14ac:dyDescent="0.3">
      <c r="A93" s="3">
        <v>108</v>
      </c>
      <c r="B93" s="3">
        <v>7</v>
      </c>
      <c r="C93" s="3" t="s">
        <v>2672</v>
      </c>
      <c r="D93" s="4" t="s">
        <v>3170</v>
      </c>
      <c r="E93" s="4" t="s">
        <v>3171</v>
      </c>
      <c r="F93" s="3">
        <v>20</v>
      </c>
      <c r="G93" s="3" t="s">
        <v>2674</v>
      </c>
      <c r="H93" s="3" t="s">
        <v>3123</v>
      </c>
    </row>
    <row r="94" spans="1:8" customFormat="1" ht="16.149999999999999" hidden="1" x14ac:dyDescent="0.3">
      <c r="A94" s="3">
        <v>108</v>
      </c>
      <c r="B94" s="3">
        <v>7</v>
      </c>
      <c r="C94" s="3" t="s">
        <v>2672</v>
      </c>
      <c r="D94" s="4" t="s">
        <v>3316</v>
      </c>
      <c r="E94" s="4" t="s">
        <v>3317</v>
      </c>
      <c r="F94" s="3">
        <v>20</v>
      </c>
      <c r="G94" s="3" t="s">
        <v>2674</v>
      </c>
      <c r="H94" s="3" t="s">
        <v>3123</v>
      </c>
    </row>
    <row r="95" spans="1:8" customFormat="1" ht="16.149999999999999" hidden="1" x14ac:dyDescent="0.3">
      <c r="A95" s="3">
        <v>108</v>
      </c>
      <c r="B95" s="3">
        <v>7</v>
      </c>
      <c r="C95" s="3" t="s">
        <v>2672</v>
      </c>
      <c r="D95" s="4" t="s">
        <v>2696</v>
      </c>
      <c r="E95" s="4" t="s">
        <v>3161</v>
      </c>
      <c r="F95" s="3">
        <v>20</v>
      </c>
      <c r="G95" s="3" t="s">
        <v>2674</v>
      </c>
      <c r="H95" s="3" t="s">
        <v>3123</v>
      </c>
    </row>
    <row r="96" spans="1:8" customFormat="1" ht="16.149999999999999" hidden="1" x14ac:dyDescent="0.3">
      <c r="A96" s="3">
        <v>108</v>
      </c>
      <c r="B96" s="3">
        <v>7</v>
      </c>
      <c r="C96" s="3" t="s">
        <v>2672</v>
      </c>
      <c r="D96" s="4" t="s">
        <v>2682</v>
      </c>
      <c r="E96" s="4" t="s">
        <v>3147</v>
      </c>
      <c r="F96" s="3">
        <v>20</v>
      </c>
      <c r="G96" s="3" t="s">
        <v>2674</v>
      </c>
      <c r="H96" s="3" t="s">
        <v>3123</v>
      </c>
    </row>
    <row r="97" spans="1:8" customFormat="1" ht="16.149999999999999" hidden="1" x14ac:dyDescent="0.3">
      <c r="A97" s="3">
        <v>108</v>
      </c>
      <c r="B97" s="3">
        <v>7</v>
      </c>
      <c r="C97" s="3" t="s">
        <v>2672</v>
      </c>
      <c r="D97" s="4" t="s">
        <v>2727</v>
      </c>
      <c r="E97" s="4" t="s">
        <v>3208</v>
      </c>
      <c r="F97" s="3">
        <v>20</v>
      </c>
      <c r="G97" s="3" t="s">
        <v>2674</v>
      </c>
      <c r="H97" s="3" t="s">
        <v>3123</v>
      </c>
    </row>
    <row r="98" spans="1:8" customFormat="1" ht="16.149999999999999" hidden="1" x14ac:dyDescent="0.3">
      <c r="A98" s="3">
        <v>108</v>
      </c>
      <c r="B98" s="3">
        <v>7</v>
      </c>
      <c r="C98" s="3" t="s">
        <v>2672</v>
      </c>
      <c r="D98" s="4" t="s">
        <v>2770</v>
      </c>
      <c r="E98" s="4" t="s">
        <v>3262</v>
      </c>
      <c r="F98" s="3">
        <v>30</v>
      </c>
      <c r="G98" s="3" t="s">
        <v>2674</v>
      </c>
      <c r="H98" s="3" t="s">
        <v>3123</v>
      </c>
    </row>
    <row r="99" spans="1:8" customFormat="1" ht="16.149999999999999" hidden="1" x14ac:dyDescent="0.3">
      <c r="A99" s="3">
        <v>108</v>
      </c>
      <c r="B99" s="3">
        <v>7</v>
      </c>
      <c r="C99" s="3" t="s">
        <v>2672</v>
      </c>
      <c r="D99" s="4" t="s">
        <v>2716</v>
      </c>
      <c r="E99" s="4" t="s">
        <v>3192</v>
      </c>
      <c r="F99" s="3">
        <v>20</v>
      </c>
      <c r="G99" s="3" t="s">
        <v>2674</v>
      </c>
      <c r="H99" s="3" t="s">
        <v>3123</v>
      </c>
    </row>
    <row r="100" spans="1:8" customFormat="1" ht="16.149999999999999" hidden="1" x14ac:dyDescent="0.3">
      <c r="A100" s="3">
        <v>108</v>
      </c>
      <c r="B100" s="3">
        <v>7</v>
      </c>
      <c r="C100" s="3" t="s">
        <v>2672</v>
      </c>
      <c r="D100" s="4" t="s">
        <v>2791</v>
      </c>
      <c r="E100" s="4" t="s">
        <v>3277</v>
      </c>
      <c r="F100" s="3">
        <v>50</v>
      </c>
      <c r="G100" s="3" t="s">
        <v>2674</v>
      </c>
      <c r="H100" s="3" t="s">
        <v>3123</v>
      </c>
    </row>
    <row r="101" spans="1:8" customFormat="1" ht="16.149999999999999" hidden="1" x14ac:dyDescent="0.3">
      <c r="A101" s="3">
        <v>108</v>
      </c>
      <c r="B101" s="3">
        <v>7</v>
      </c>
      <c r="C101" s="3" t="s">
        <v>2672</v>
      </c>
      <c r="D101" s="4" t="s">
        <v>2787</v>
      </c>
      <c r="E101" s="4" t="s">
        <v>3274</v>
      </c>
      <c r="F101" s="3">
        <v>30</v>
      </c>
      <c r="G101" s="3" t="s">
        <v>2674</v>
      </c>
      <c r="H101" s="3" t="s">
        <v>3123</v>
      </c>
    </row>
    <row r="102" spans="1:8" customFormat="1" ht="16.149999999999999" hidden="1" x14ac:dyDescent="0.3">
      <c r="A102" s="3">
        <v>108</v>
      </c>
      <c r="B102" s="3">
        <v>7</v>
      </c>
      <c r="C102" s="3" t="s">
        <v>2672</v>
      </c>
      <c r="D102" s="4" t="s">
        <v>3378</v>
      </c>
      <c r="E102" s="4" t="s">
        <v>3297</v>
      </c>
      <c r="F102" s="3">
        <v>20</v>
      </c>
      <c r="G102" s="3" t="s">
        <v>2674</v>
      </c>
      <c r="H102" s="3" t="s">
        <v>3123</v>
      </c>
    </row>
    <row r="103" spans="1:8" customFormat="1" ht="16.149999999999999" hidden="1" x14ac:dyDescent="0.3">
      <c r="A103" s="3">
        <v>108</v>
      </c>
      <c r="B103" s="3">
        <v>7</v>
      </c>
      <c r="C103" s="3" t="s">
        <v>2672</v>
      </c>
      <c r="D103" s="4" t="s">
        <v>2739</v>
      </c>
      <c r="E103" s="4" t="s">
        <v>3225</v>
      </c>
      <c r="F103" s="3">
        <v>30</v>
      </c>
      <c r="G103" s="3" t="s">
        <v>2674</v>
      </c>
      <c r="H103" s="3" t="s">
        <v>3123</v>
      </c>
    </row>
    <row r="104" spans="1:8" customFormat="1" ht="16.149999999999999" hidden="1" x14ac:dyDescent="0.3">
      <c r="A104" s="3">
        <v>108</v>
      </c>
      <c r="B104" s="3">
        <v>7</v>
      </c>
      <c r="C104" s="3" t="s">
        <v>2672</v>
      </c>
      <c r="D104" s="4" t="s">
        <v>2801</v>
      </c>
      <c r="E104" s="4" t="s">
        <v>369</v>
      </c>
      <c r="F104" s="3">
        <v>20</v>
      </c>
      <c r="G104" s="3" t="s">
        <v>2674</v>
      </c>
      <c r="H104" s="3" t="s">
        <v>3123</v>
      </c>
    </row>
    <row r="105" spans="1:8" customFormat="1" ht="16.149999999999999" hidden="1" x14ac:dyDescent="0.3">
      <c r="A105" s="3">
        <v>108</v>
      </c>
      <c r="B105" s="3">
        <v>7</v>
      </c>
      <c r="C105" s="3" t="s">
        <v>2672</v>
      </c>
      <c r="D105" s="4" t="s">
        <v>2844</v>
      </c>
      <c r="E105" s="4" t="s">
        <v>3344</v>
      </c>
      <c r="F105" s="3">
        <v>20</v>
      </c>
      <c r="G105" s="3" t="s">
        <v>2674</v>
      </c>
      <c r="H105" s="3" t="s">
        <v>3123</v>
      </c>
    </row>
    <row r="106" spans="1:8" customFormat="1" ht="16.149999999999999" hidden="1" x14ac:dyDescent="0.3">
      <c r="A106" s="3">
        <v>108</v>
      </c>
      <c r="B106" s="3">
        <v>7</v>
      </c>
      <c r="C106" s="3" t="s">
        <v>2672</v>
      </c>
      <c r="D106" s="4" t="s">
        <v>2676</v>
      </c>
      <c r="E106" s="4" t="s">
        <v>3139</v>
      </c>
      <c r="F106" s="3">
        <v>30</v>
      </c>
      <c r="G106" s="3" t="s">
        <v>2674</v>
      </c>
      <c r="H106" s="3" t="s">
        <v>3123</v>
      </c>
    </row>
    <row r="107" spans="1:8" customFormat="1" ht="16.149999999999999" hidden="1" x14ac:dyDescent="0.3">
      <c r="A107" s="3">
        <v>108</v>
      </c>
      <c r="B107" s="3">
        <v>7</v>
      </c>
      <c r="C107" s="3" t="s">
        <v>2672</v>
      </c>
      <c r="D107" s="4" t="s">
        <v>2767</v>
      </c>
      <c r="E107" s="4" t="s">
        <v>411</v>
      </c>
      <c r="F107" s="3">
        <v>20</v>
      </c>
      <c r="G107" s="3" t="s">
        <v>2674</v>
      </c>
      <c r="H107" s="3" t="s">
        <v>3123</v>
      </c>
    </row>
    <row r="108" spans="1:8" customFormat="1" ht="16.149999999999999" hidden="1" x14ac:dyDescent="0.3">
      <c r="A108" s="3">
        <v>108</v>
      </c>
      <c r="B108" s="3">
        <v>7</v>
      </c>
      <c r="C108" s="3" t="s">
        <v>2672</v>
      </c>
      <c r="D108" s="4" t="s">
        <v>2714</v>
      </c>
      <c r="E108" s="4" t="s">
        <v>197</v>
      </c>
      <c r="F108" s="3">
        <v>20</v>
      </c>
      <c r="G108" s="3" t="s">
        <v>2674</v>
      </c>
      <c r="H108" s="3" t="s">
        <v>3123</v>
      </c>
    </row>
    <row r="109" spans="1:8" customFormat="1" ht="16.149999999999999" hidden="1" x14ac:dyDescent="0.3">
      <c r="A109" s="3">
        <v>108</v>
      </c>
      <c r="B109" s="3">
        <v>7</v>
      </c>
      <c r="C109" s="3" t="s">
        <v>2672</v>
      </c>
      <c r="D109" s="4" t="s">
        <v>3248</v>
      </c>
      <c r="E109" s="4" t="s">
        <v>3249</v>
      </c>
      <c r="F109" s="3">
        <v>30</v>
      </c>
      <c r="G109" s="3" t="s">
        <v>2674</v>
      </c>
      <c r="H109" s="3" t="s">
        <v>3123</v>
      </c>
    </row>
    <row r="110" spans="1:8" customFormat="1" ht="16.149999999999999" hidden="1" x14ac:dyDescent="0.3">
      <c r="A110" s="3">
        <v>108</v>
      </c>
      <c r="B110" s="3">
        <v>7</v>
      </c>
      <c r="C110" s="3" t="s">
        <v>2672</v>
      </c>
      <c r="D110" s="4" t="s">
        <v>2829</v>
      </c>
      <c r="E110" s="4" t="s">
        <v>3318</v>
      </c>
      <c r="F110" s="3">
        <v>19.95</v>
      </c>
      <c r="G110" s="3" t="s">
        <v>2674</v>
      </c>
      <c r="H110" s="3" t="s">
        <v>2669</v>
      </c>
    </row>
    <row r="111" spans="1:8" customFormat="1" ht="16.149999999999999" hidden="1" x14ac:dyDescent="0.3">
      <c r="A111" s="3">
        <v>108</v>
      </c>
      <c r="B111" s="3">
        <v>7</v>
      </c>
      <c r="C111" s="3" t="s">
        <v>2672</v>
      </c>
      <c r="D111" s="4" t="s">
        <v>2698</v>
      </c>
      <c r="E111" s="4" t="s">
        <v>3168</v>
      </c>
      <c r="F111" s="3">
        <v>20</v>
      </c>
      <c r="G111" s="3" t="s">
        <v>2674</v>
      </c>
      <c r="H111" s="3" t="s">
        <v>2669</v>
      </c>
    </row>
    <row r="112" spans="1:8" customFormat="1" ht="16.149999999999999" hidden="1" x14ac:dyDescent="0.3">
      <c r="A112" s="3">
        <v>108</v>
      </c>
      <c r="B112" s="3">
        <v>7</v>
      </c>
      <c r="C112" s="3" t="s">
        <v>2672</v>
      </c>
      <c r="D112" s="4" t="s">
        <v>2700</v>
      </c>
      <c r="E112" s="4" t="s">
        <v>3172</v>
      </c>
      <c r="F112" s="3">
        <v>20</v>
      </c>
      <c r="G112" s="3" t="s">
        <v>2674</v>
      </c>
      <c r="H112" s="3" t="s">
        <v>2669</v>
      </c>
    </row>
    <row r="113" spans="1:8" customFormat="1" ht="16.149999999999999" hidden="1" x14ac:dyDescent="0.3">
      <c r="A113" s="3">
        <v>108</v>
      </c>
      <c r="B113" s="3">
        <v>7</v>
      </c>
      <c r="C113" s="3" t="s">
        <v>2672</v>
      </c>
      <c r="D113" s="4" t="s">
        <v>2681</v>
      </c>
      <c r="E113" s="4" t="s">
        <v>3146</v>
      </c>
      <c r="F113" s="3">
        <v>30</v>
      </c>
      <c r="G113" s="3" t="s">
        <v>2674</v>
      </c>
      <c r="H113" s="3" t="s">
        <v>2669</v>
      </c>
    </row>
    <row r="114" spans="1:8" customFormat="1" ht="16.149999999999999" hidden="1" x14ac:dyDescent="0.3">
      <c r="A114" s="3">
        <v>108</v>
      </c>
      <c r="B114" s="3">
        <v>7</v>
      </c>
      <c r="C114" s="3" t="s">
        <v>2672</v>
      </c>
      <c r="D114" s="4" t="s">
        <v>2789</v>
      </c>
      <c r="E114" s="4" t="s">
        <v>485</v>
      </c>
      <c r="F114" s="3">
        <v>20</v>
      </c>
      <c r="G114" s="3" t="s">
        <v>2674</v>
      </c>
      <c r="H114" s="3" t="s">
        <v>2669</v>
      </c>
    </row>
    <row r="115" spans="1:8" customFormat="1" ht="16.149999999999999" hidden="1" x14ac:dyDescent="0.3">
      <c r="A115" s="3">
        <v>108</v>
      </c>
      <c r="B115" s="3">
        <v>7</v>
      </c>
      <c r="C115" s="3" t="s">
        <v>2672</v>
      </c>
      <c r="D115" s="4" t="s">
        <v>2810</v>
      </c>
      <c r="E115" s="4" t="s">
        <v>3296</v>
      </c>
      <c r="F115" s="3">
        <v>20</v>
      </c>
      <c r="G115" s="3" t="s">
        <v>2674</v>
      </c>
      <c r="H115" s="3" t="s">
        <v>2669</v>
      </c>
    </row>
    <row r="116" spans="1:8" customFormat="1" ht="16.149999999999999" hidden="1" x14ac:dyDescent="0.3">
      <c r="A116" s="3">
        <v>108</v>
      </c>
      <c r="B116" s="3">
        <v>7</v>
      </c>
      <c r="C116" s="3" t="s">
        <v>2672</v>
      </c>
      <c r="D116" s="4" t="s">
        <v>3292</v>
      </c>
      <c r="E116" s="4" t="s">
        <v>3293</v>
      </c>
      <c r="F116" s="3">
        <v>20</v>
      </c>
      <c r="G116" s="3" t="s">
        <v>2674</v>
      </c>
      <c r="H116" s="3" t="s">
        <v>2669</v>
      </c>
    </row>
    <row r="117" spans="1:8" customFormat="1" ht="16.149999999999999" hidden="1" x14ac:dyDescent="0.3">
      <c r="A117" s="3">
        <v>108</v>
      </c>
      <c r="B117" s="3">
        <v>7</v>
      </c>
      <c r="C117" s="3" t="s">
        <v>2672</v>
      </c>
      <c r="D117" s="4" t="s">
        <v>2677</v>
      </c>
      <c r="E117" s="4" t="s">
        <v>3144</v>
      </c>
      <c r="F117" s="3">
        <v>50</v>
      </c>
      <c r="G117" s="3" t="s">
        <v>2674</v>
      </c>
      <c r="H117" s="3" t="s">
        <v>2669</v>
      </c>
    </row>
    <row r="118" spans="1:8" customFormat="1" ht="16.149999999999999" hidden="1" x14ac:dyDescent="0.3">
      <c r="A118" s="3">
        <v>108</v>
      </c>
      <c r="B118" s="3">
        <v>7</v>
      </c>
      <c r="C118" s="3" t="s">
        <v>2672</v>
      </c>
      <c r="D118" s="4" t="s">
        <v>2750</v>
      </c>
      <c r="E118" s="4" t="s">
        <v>350</v>
      </c>
      <c r="F118" s="3">
        <v>20</v>
      </c>
      <c r="G118" s="3" t="s">
        <v>2674</v>
      </c>
      <c r="H118" s="3" t="s">
        <v>3125</v>
      </c>
    </row>
    <row r="119" spans="1:8" customFormat="1" ht="16.149999999999999" hidden="1" x14ac:dyDescent="0.3">
      <c r="A119" s="3">
        <v>108</v>
      </c>
      <c r="B119" s="3">
        <v>7</v>
      </c>
      <c r="C119" s="3" t="s">
        <v>2672</v>
      </c>
      <c r="D119" s="4" t="s">
        <v>3336</v>
      </c>
      <c r="E119" s="4" t="s">
        <v>3337</v>
      </c>
      <c r="F119" s="3">
        <v>20</v>
      </c>
      <c r="G119" s="3" t="s">
        <v>2674</v>
      </c>
      <c r="H119" s="3" t="s">
        <v>3125</v>
      </c>
    </row>
    <row r="120" spans="1:8" customFormat="1" ht="16.149999999999999" hidden="1" x14ac:dyDescent="0.3">
      <c r="A120" s="3">
        <v>108</v>
      </c>
      <c r="B120" s="3">
        <v>7</v>
      </c>
      <c r="C120" s="3" t="s">
        <v>2672</v>
      </c>
      <c r="D120" s="4" t="s">
        <v>2704</v>
      </c>
      <c r="E120" s="4" t="s">
        <v>3181</v>
      </c>
      <c r="F120" s="3">
        <v>30</v>
      </c>
      <c r="G120" s="3" t="s">
        <v>2674</v>
      </c>
      <c r="H120" s="3" t="s">
        <v>3125</v>
      </c>
    </row>
    <row r="121" spans="1:8" customFormat="1" ht="16.149999999999999" hidden="1" x14ac:dyDescent="0.3">
      <c r="A121" s="3">
        <v>108</v>
      </c>
      <c r="B121" s="3">
        <v>7</v>
      </c>
      <c r="C121" s="3" t="s">
        <v>2672</v>
      </c>
      <c r="D121" s="4" t="s">
        <v>3229</v>
      </c>
      <c r="E121" s="4" t="s">
        <v>3230</v>
      </c>
      <c r="F121" s="3">
        <v>20</v>
      </c>
      <c r="G121" s="3" t="s">
        <v>2674</v>
      </c>
      <c r="H121" s="3" t="s">
        <v>3125</v>
      </c>
    </row>
    <row r="122" spans="1:8" customFormat="1" ht="16.149999999999999" hidden="1" x14ac:dyDescent="0.3">
      <c r="A122" s="3">
        <v>108</v>
      </c>
      <c r="B122" s="3">
        <v>7</v>
      </c>
      <c r="C122" s="3" t="s">
        <v>2672</v>
      </c>
      <c r="D122" s="4" t="s">
        <v>2800</v>
      </c>
      <c r="E122" s="4" t="s">
        <v>3283</v>
      </c>
      <c r="F122" s="3">
        <v>19.495999999999999</v>
      </c>
      <c r="G122" s="3" t="s">
        <v>2674</v>
      </c>
      <c r="H122" s="3" t="s">
        <v>3125</v>
      </c>
    </row>
    <row r="123" spans="1:8" customFormat="1" ht="16.149999999999999" hidden="1" x14ac:dyDescent="0.3">
      <c r="A123" s="3">
        <v>108</v>
      </c>
      <c r="B123" s="3">
        <v>7</v>
      </c>
      <c r="C123" s="3" t="s">
        <v>2672</v>
      </c>
      <c r="D123" s="4" t="s">
        <v>3202</v>
      </c>
      <c r="E123" s="4" t="s">
        <v>3203</v>
      </c>
      <c r="F123" s="3">
        <v>30</v>
      </c>
      <c r="G123" s="3" t="s">
        <v>2674</v>
      </c>
      <c r="H123" s="3" t="s">
        <v>3125</v>
      </c>
    </row>
    <row r="124" spans="1:8" customFormat="1" ht="16.149999999999999" hidden="1" x14ac:dyDescent="0.3">
      <c r="A124" s="3">
        <v>108</v>
      </c>
      <c r="B124" s="3">
        <v>7</v>
      </c>
      <c r="C124" s="3" t="s">
        <v>2672</v>
      </c>
      <c r="D124" s="4" t="s">
        <v>2768</v>
      </c>
      <c r="E124" s="4" t="s">
        <v>3258</v>
      </c>
      <c r="F124" s="3">
        <v>50</v>
      </c>
      <c r="G124" s="3" t="s">
        <v>2674</v>
      </c>
      <c r="H124" s="3" t="s">
        <v>3125</v>
      </c>
    </row>
    <row r="125" spans="1:8" customFormat="1" ht="16.149999999999999" hidden="1" x14ac:dyDescent="0.3">
      <c r="A125" s="3">
        <v>108</v>
      </c>
      <c r="B125" s="3">
        <v>7</v>
      </c>
      <c r="C125" s="3" t="s">
        <v>2672</v>
      </c>
      <c r="D125" s="4" t="s">
        <v>3195</v>
      </c>
      <c r="E125" s="4" t="s">
        <v>3196</v>
      </c>
      <c r="F125" s="3">
        <v>50</v>
      </c>
      <c r="G125" s="3" t="s">
        <v>2674</v>
      </c>
      <c r="H125" s="3" t="s">
        <v>3125</v>
      </c>
    </row>
    <row r="126" spans="1:8" customFormat="1" ht="16.149999999999999" hidden="1" x14ac:dyDescent="0.3">
      <c r="A126" s="3">
        <v>108</v>
      </c>
      <c r="B126" s="3">
        <v>7</v>
      </c>
      <c r="C126" s="3" t="s">
        <v>2672</v>
      </c>
      <c r="D126" s="4" t="s">
        <v>2797</v>
      </c>
      <c r="E126" s="4" t="s">
        <v>3285</v>
      </c>
      <c r="F126" s="3">
        <v>30</v>
      </c>
      <c r="G126" s="3" t="s">
        <v>2674</v>
      </c>
      <c r="H126" s="3" t="s">
        <v>3125</v>
      </c>
    </row>
    <row r="127" spans="1:8" customFormat="1" ht="16.149999999999999" hidden="1" x14ac:dyDescent="0.3">
      <c r="A127" s="3">
        <v>108</v>
      </c>
      <c r="B127" s="3">
        <v>7</v>
      </c>
      <c r="C127" s="3" t="s">
        <v>2672</v>
      </c>
      <c r="D127" s="4" t="s">
        <v>2686</v>
      </c>
      <c r="E127" s="4" t="s">
        <v>3151</v>
      </c>
      <c r="F127" s="3">
        <v>50</v>
      </c>
      <c r="G127" s="3" t="s">
        <v>2674</v>
      </c>
      <c r="H127" s="3" t="s">
        <v>3125</v>
      </c>
    </row>
    <row r="128" spans="1:8" customFormat="1" ht="16.149999999999999" hidden="1" x14ac:dyDescent="0.3">
      <c r="A128" s="3">
        <v>108</v>
      </c>
      <c r="B128" s="3">
        <v>7</v>
      </c>
      <c r="C128" s="3" t="s">
        <v>2672</v>
      </c>
      <c r="D128" s="4" t="s">
        <v>2841</v>
      </c>
      <c r="E128" s="4" t="s">
        <v>3340</v>
      </c>
      <c r="F128" s="3">
        <v>30</v>
      </c>
      <c r="G128" s="3" t="s">
        <v>2674</v>
      </c>
      <c r="H128" s="3" t="s">
        <v>3125</v>
      </c>
    </row>
    <row r="129" spans="1:8" customFormat="1" ht="16.149999999999999" hidden="1" x14ac:dyDescent="0.3">
      <c r="A129" s="3">
        <v>108</v>
      </c>
      <c r="B129" s="3">
        <v>7</v>
      </c>
      <c r="C129" s="3" t="s">
        <v>2672</v>
      </c>
      <c r="D129" s="4" t="s">
        <v>2828</v>
      </c>
      <c r="E129" s="4" t="s">
        <v>3319</v>
      </c>
      <c r="F129" s="3">
        <v>30</v>
      </c>
      <c r="G129" s="3" t="s">
        <v>2674</v>
      </c>
      <c r="H129" s="3" t="s">
        <v>3125</v>
      </c>
    </row>
    <row r="130" spans="1:8" customFormat="1" ht="16.149999999999999" hidden="1" x14ac:dyDescent="0.3">
      <c r="A130" s="3">
        <v>108</v>
      </c>
      <c r="B130" s="3">
        <v>7</v>
      </c>
      <c r="C130" s="3" t="s">
        <v>2672</v>
      </c>
      <c r="D130" s="4" t="s">
        <v>2697</v>
      </c>
      <c r="E130" s="4" t="s">
        <v>3169</v>
      </c>
      <c r="F130" s="3">
        <v>20</v>
      </c>
      <c r="G130" s="3" t="s">
        <v>2674</v>
      </c>
      <c r="H130" s="3" t="s">
        <v>3125</v>
      </c>
    </row>
    <row r="131" spans="1:8" customFormat="1" ht="16.149999999999999" hidden="1" x14ac:dyDescent="0.3">
      <c r="A131" s="3">
        <v>108</v>
      </c>
      <c r="B131" s="3">
        <v>7</v>
      </c>
      <c r="C131" s="3" t="s">
        <v>2672</v>
      </c>
      <c r="D131" s="4" t="s">
        <v>2711</v>
      </c>
      <c r="E131" s="4" t="s">
        <v>3190</v>
      </c>
      <c r="F131" s="3">
        <v>15</v>
      </c>
      <c r="G131" s="3" t="s">
        <v>2674</v>
      </c>
      <c r="H131" s="3" t="s">
        <v>3125</v>
      </c>
    </row>
    <row r="132" spans="1:8" customFormat="1" ht="16.149999999999999" hidden="1" x14ac:dyDescent="0.3">
      <c r="A132" s="3">
        <v>108</v>
      </c>
      <c r="B132" s="3">
        <v>7</v>
      </c>
      <c r="C132" s="3" t="s">
        <v>2672</v>
      </c>
      <c r="D132" s="4" t="s">
        <v>2811</v>
      </c>
      <c r="E132" s="4" t="s">
        <v>3299</v>
      </c>
      <c r="F132" s="3">
        <v>20</v>
      </c>
      <c r="G132" s="3" t="s">
        <v>2674</v>
      </c>
      <c r="H132" s="3" t="s">
        <v>3125</v>
      </c>
    </row>
    <row r="133" spans="1:8" customFormat="1" ht="16.149999999999999" hidden="1" x14ac:dyDescent="0.3">
      <c r="A133" s="3">
        <v>108</v>
      </c>
      <c r="B133" s="3">
        <v>7</v>
      </c>
      <c r="C133" s="3" t="s">
        <v>2672</v>
      </c>
      <c r="D133" s="4" t="s">
        <v>2845</v>
      </c>
      <c r="E133" s="4" t="s">
        <v>3343</v>
      </c>
      <c r="F133" s="3">
        <v>20</v>
      </c>
      <c r="G133" s="3" t="s">
        <v>2674</v>
      </c>
      <c r="H133" s="3" t="s">
        <v>3125</v>
      </c>
    </row>
    <row r="134" spans="1:8" customFormat="1" ht="16.149999999999999" hidden="1" x14ac:dyDescent="0.3">
      <c r="A134" s="3">
        <v>108</v>
      </c>
      <c r="B134" s="3">
        <v>7</v>
      </c>
      <c r="C134" s="3" t="s">
        <v>2672</v>
      </c>
      <c r="D134" s="4" t="s">
        <v>2684</v>
      </c>
      <c r="E134" s="4" t="s">
        <v>3145</v>
      </c>
      <c r="F134" s="3">
        <v>62.945</v>
      </c>
      <c r="G134" s="3" t="s">
        <v>2674</v>
      </c>
      <c r="H134" s="3" t="s">
        <v>2668</v>
      </c>
    </row>
    <row r="135" spans="1:8" ht="33" x14ac:dyDescent="0.25">
      <c r="A135" s="9">
        <v>108</v>
      </c>
      <c r="B135" s="9">
        <v>7</v>
      </c>
      <c r="C135" s="9" t="s">
        <v>2672</v>
      </c>
      <c r="D135" s="7" t="s">
        <v>2691</v>
      </c>
      <c r="E135" s="7" t="s">
        <v>3157</v>
      </c>
      <c r="F135" s="9">
        <v>100</v>
      </c>
      <c r="G135" s="9" t="s">
        <v>2674</v>
      </c>
      <c r="H135" s="9" t="s">
        <v>2670</v>
      </c>
    </row>
    <row r="136" spans="1:8" x14ac:dyDescent="0.25">
      <c r="A136" s="9">
        <v>108</v>
      </c>
      <c r="B136" s="9">
        <v>7</v>
      </c>
      <c r="C136" s="9" t="s">
        <v>2672</v>
      </c>
      <c r="D136" s="7" t="s">
        <v>3673</v>
      </c>
      <c r="E136" s="7" t="s">
        <v>3160</v>
      </c>
      <c r="F136" s="9">
        <v>300</v>
      </c>
      <c r="G136" s="9" t="s">
        <v>2674</v>
      </c>
      <c r="H136" s="9" t="s">
        <v>2670</v>
      </c>
    </row>
    <row r="137" spans="1:8" ht="33" x14ac:dyDescent="0.25">
      <c r="A137" s="9">
        <v>108</v>
      </c>
      <c r="B137" s="9">
        <v>7</v>
      </c>
      <c r="C137" s="9" t="s">
        <v>2672</v>
      </c>
      <c r="D137" s="7" t="s">
        <v>2842</v>
      </c>
      <c r="E137" s="7" t="s">
        <v>3339</v>
      </c>
      <c r="F137" s="9">
        <v>60</v>
      </c>
      <c r="G137" s="9" t="s">
        <v>2674</v>
      </c>
      <c r="H137" s="9" t="s">
        <v>2670</v>
      </c>
    </row>
    <row r="138" spans="1:8" ht="33" x14ac:dyDescent="0.25">
      <c r="A138" s="9">
        <v>108</v>
      </c>
      <c r="B138" s="9">
        <v>7</v>
      </c>
      <c r="C138" s="9" t="s">
        <v>2672</v>
      </c>
      <c r="D138" s="7" t="s">
        <v>2830</v>
      </c>
      <c r="E138" s="7" t="s">
        <v>3321</v>
      </c>
      <c r="F138" s="9">
        <v>70</v>
      </c>
      <c r="G138" s="9" t="s">
        <v>2674</v>
      </c>
      <c r="H138" s="9" t="s">
        <v>2670</v>
      </c>
    </row>
    <row r="139" spans="1:8" x14ac:dyDescent="0.25">
      <c r="A139" s="9">
        <v>108</v>
      </c>
      <c r="B139" s="9">
        <v>7</v>
      </c>
      <c r="C139" s="9" t="s">
        <v>2672</v>
      </c>
      <c r="D139" s="7" t="s">
        <v>2758</v>
      </c>
      <c r="E139" s="7" t="s">
        <v>3245</v>
      </c>
      <c r="F139" s="9">
        <v>30</v>
      </c>
      <c r="G139" s="9" t="s">
        <v>2674</v>
      </c>
      <c r="H139" s="9" t="s">
        <v>2670</v>
      </c>
    </row>
    <row r="140" spans="1:8" ht="33" x14ac:dyDescent="0.25">
      <c r="A140" s="9">
        <v>108</v>
      </c>
      <c r="B140" s="9">
        <v>7</v>
      </c>
      <c r="C140" s="9" t="s">
        <v>2672</v>
      </c>
      <c r="D140" s="7" t="s">
        <v>2812</v>
      </c>
      <c r="E140" s="7" t="s">
        <v>3304</v>
      </c>
      <c r="F140" s="9">
        <v>80</v>
      </c>
      <c r="G140" s="9" t="s">
        <v>2674</v>
      </c>
      <c r="H140" s="9" t="s">
        <v>2670</v>
      </c>
    </row>
    <row r="141" spans="1:8" ht="33" x14ac:dyDescent="0.25">
      <c r="A141" s="9">
        <v>108</v>
      </c>
      <c r="B141" s="9">
        <v>7</v>
      </c>
      <c r="C141" s="9" t="s">
        <v>2672</v>
      </c>
      <c r="D141" s="7" t="s">
        <v>2679</v>
      </c>
      <c r="E141" s="7" t="s">
        <v>3143</v>
      </c>
      <c r="F141" s="9">
        <v>60</v>
      </c>
      <c r="G141" s="9" t="s">
        <v>2674</v>
      </c>
      <c r="H141" s="9" t="s">
        <v>2670</v>
      </c>
    </row>
    <row r="142" spans="1:8" ht="33" x14ac:dyDescent="0.25">
      <c r="A142" s="9">
        <v>108</v>
      </c>
      <c r="B142" s="9">
        <v>7</v>
      </c>
      <c r="C142" s="9" t="s">
        <v>2672</v>
      </c>
      <c r="D142" s="7" t="s">
        <v>3235</v>
      </c>
      <c r="E142" s="7" t="s">
        <v>3236</v>
      </c>
      <c r="F142" s="9">
        <v>40</v>
      </c>
      <c r="G142" s="9" t="s">
        <v>2674</v>
      </c>
      <c r="H142" s="9" t="s">
        <v>2670</v>
      </c>
    </row>
    <row r="143" spans="1:8" x14ac:dyDescent="0.25">
      <c r="A143" s="9">
        <v>108</v>
      </c>
      <c r="B143" s="9">
        <v>7</v>
      </c>
      <c r="C143" s="9" t="s">
        <v>2672</v>
      </c>
      <c r="D143" s="7" t="s">
        <v>2678</v>
      </c>
      <c r="E143" s="7" t="s">
        <v>3141</v>
      </c>
      <c r="F143" s="9">
        <v>50</v>
      </c>
      <c r="G143" s="9" t="s">
        <v>2674</v>
      </c>
      <c r="H143" s="9" t="s">
        <v>2670</v>
      </c>
    </row>
    <row r="144" spans="1:8" ht="33" x14ac:dyDescent="0.25">
      <c r="A144" s="9">
        <v>108</v>
      </c>
      <c r="B144" s="9">
        <v>7</v>
      </c>
      <c r="C144" s="9" t="s">
        <v>2672</v>
      </c>
      <c r="D144" s="7" t="s">
        <v>3178</v>
      </c>
      <c r="E144" s="7" t="s">
        <v>3179</v>
      </c>
      <c r="F144" s="9">
        <v>30</v>
      </c>
      <c r="G144" s="9" t="s">
        <v>2674</v>
      </c>
      <c r="H144" s="9" t="s">
        <v>2670</v>
      </c>
    </row>
    <row r="145" spans="1:8" ht="49.5" x14ac:dyDescent="0.25">
      <c r="A145" s="9">
        <v>108</v>
      </c>
      <c r="B145" s="9">
        <v>7</v>
      </c>
      <c r="C145" s="9" t="s">
        <v>2672</v>
      </c>
      <c r="D145" s="7" t="s">
        <v>2778</v>
      </c>
      <c r="E145" s="7" t="s">
        <v>3268</v>
      </c>
      <c r="F145" s="9">
        <v>80</v>
      </c>
      <c r="G145" s="9" t="s">
        <v>2674</v>
      </c>
      <c r="H145" s="9" t="s">
        <v>2670</v>
      </c>
    </row>
    <row r="146" spans="1:8" ht="33" x14ac:dyDescent="0.25">
      <c r="A146" s="9">
        <v>108</v>
      </c>
      <c r="B146" s="9">
        <v>7</v>
      </c>
      <c r="C146" s="9" t="s">
        <v>2672</v>
      </c>
      <c r="D146" s="7" t="s">
        <v>2839</v>
      </c>
      <c r="E146" s="7" t="s">
        <v>3338</v>
      </c>
      <c r="F146" s="9">
        <v>150</v>
      </c>
      <c r="G146" s="9" t="s">
        <v>2674</v>
      </c>
      <c r="H146" s="9" t="s">
        <v>2670</v>
      </c>
    </row>
    <row r="147" spans="1:8" customFormat="1" ht="16.149999999999999" hidden="1" x14ac:dyDescent="0.3">
      <c r="A147" s="3">
        <v>108</v>
      </c>
      <c r="B147" s="3">
        <v>7</v>
      </c>
      <c r="C147" s="3" t="s">
        <v>2672</v>
      </c>
      <c r="D147" s="4" t="s">
        <v>2773</v>
      </c>
      <c r="E147" s="4" t="s">
        <v>434</v>
      </c>
      <c r="F147" s="3">
        <v>91.278999999999996</v>
      </c>
      <c r="G147" s="3" t="s">
        <v>2674</v>
      </c>
      <c r="H147" s="3" t="s">
        <v>3122</v>
      </c>
    </row>
    <row r="148" spans="1:8" customFormat="1" ht="16.149999999999999" hidden="1" x14ac:dyDescent="0.3">
      <c r="A148" s="3">
        <v>108</v>
      </c>
      <c r="B148" s="3">
        <v>7</v>
      </c>
      <c r="C148" s="3" t="s">
        <v>2672</v>
      </c>
      <c r="D148" s="4" t="s">
        <v>3348</v>
      </c>
      <c r="E148" s="4" t="s">
        <v>3349</v>
      </c>
      <c r="F148" s="3">
        <v>20</v>
      </c>
      <c r="G148" s="3" t="s">
        <v>2674</v>
      </c>
      <c r="H148" s="3" t="s">
        <v>3134</v>
      </c>
    </row>
    <row r="149" spans="1:8" customFormat="1" ht="16.149999999999999" hidden="1" x14ac:dyDescent="0.3">
      <c r="A149" s="3">
        <v>108</v>
      </c>
      <c r="B149" s="3">
        <v>7</v>
      </c>
      <c r="C149" s="3" t="s">
        <v>2672</v>
      </c>
      <c r="D149" s="4" t="s">
        <v>2838</v>
      </c>
      <c r="E149" s="4" t="s">
        <v>3334</v>
      </c>
      <c r="F149" s="3">
        <v>50</v>
      </c>
      <c r="G149" s="3" t="s">
        <v>2674</v>
      </c>
      <c r="H149" s="3" t="s">
        <v>3129</v>
      </c>
    </row>
    <row r="150" spans="1:8" customFormat="1" ht="16.149999999999999" hidden="1" x14ac:dyDescent="0.3">
      <c r="A150" s="3">
        <v>108</v>
      </c>
      <c r="B150" s="3">
        <v>7</v>
      </c>
      <c r="C150" s="3" t="s">
        <v>2672</v>
      </c>
      <c r="D150" s="4" t="s">
        <v>3200</v>
      </c>
      <c r="E150" s="4" t="s">
        <v>3201</v>
      </c>
      <c r="F150" s="3">
        <v>15</v>
      </c>
      <c r="G150" s="3" t="s">
        <v>2674</v>
      </c>
      <c r="H150" s="3" t="s">
        <v>3129</v>
      </c>
    </row>
    <row r="151" spans="1:8" customFormat="1" ht="16.149999999999999" hidden="1" x14ac:dyDescent="0.3">
      <c r="A151" s="3">
        <v>108</v>
      </c>
      <c r="B151" s="3">
        <v>7</v>
      </c>
      <c r="C151" s="3" t="s">
        <v>2672</v>
      </c>
      <c r="D151" s="4" t="s">
        <v>2738</v>
      </c>
      <c r="E151" s="4" t="s">
        <v>3221</v>
      </c>
      <c r="F151" s="3">
        <v>20</v>
      </c>
      <c r="G151" s="3" t="s">
        <v>2674</v>
      </c>
      <c r="H151" s="3" t="s">
        <v>3129</v>
      </c>
    </row>
    <row r="152" spans="1:8" customFormat="1" ht="16.149999999999999" hidden="1" x14ac:dyDescent="0.3">
      <c r="A152" s="3">
        <v>108</v>
      </c>
      <c r="B152" s="3">
        <v>7</v>
      </c>
      <c r="C152" s="3" t="s">
        <v>2672</v>
      </c>
      <c r="D152" s="4" t="s">
        <v>2736</v>
      </c>
      <c r="E152" s="4" t="s">
        <v>3392</v>
      </c>
      <c r="F152" s="3">
        <v>20</v>
      </c>
      <c r="G152" s="3" t="s">
        <v>2674</v>
      </c>
      <c r="H152" s="3" t="s">
        <v>3129</v>
      </c>
    </row>
    <row r="153" spans="1:8" customFormat="1" ht="16.149999999999999" hidden="1" x14ac:dyDescent="0.3">
      <c r="A153" s="3">
        <v>108</v>
      </c>
      <c r="B153" s="3">
        <v>7</v>
      </c>
      <c r="C153" s="3" t="s">
        <v>2672</v>
      </c>
      <c r="D153" s="4" t="s">
        <v>2722</v>
      </c>
      <c r="E153" s="4" t="s">
        <v>239</v>
      </c>
      <c r="F153" s="3">
        <v>30</v>
      </c>
      <c r="G153" s="3" t="s">
        <v>2674</v>
      </c>
      <c r="H153" s="3" t="s">
        <v>3129</v>
      </c>
    </row>
    <row r="154" spans="1:8" x14ac:dyDescent="0.25">
      <c r="A154" s="9">
        <v>108</v>
      </c>
      <c r="B154" s="9">
        <v>7</v>
      </c>
      <c r="C154" s="9" t="s">
        <v>2672</v>
      </c>
      <c r="D154" s="7" t="s">
        <v>3254</v>
      </c>
      <c r="E154" s="7" t="s">
        <v>3255</v>
      </c>
      <c r="F154" s="9">
        <v>194.55500000000001</v>
      </c>
      <c r="G154" s="9" t="s">
        <v>2674</v>
      </c>
      <c r="H154" s="9" t="s">
        <v>2671</v>
      </c>
    </row>
    <row r="155" spans="1:8" x14ac:dyDescent="0.25">
      <c r="A155" s="9">
        <v>108</v>
      </c>
      <c r="B155" s="9">
        <v>7</v>
      </c>
      <c r="C155" s="9" t="s">
        <v>2672</v>
      </c>
      <c r="D155" s="7" t="s">
        <v>2717</v>
      </c>
      <c r="E155" s="7" t="s">
        <v>213</v>
      </c>
      <c r="F155" s="9">
        <v>80</v>
      </c>
      <c r="G155" s="9" t="s">
        <v>2674</v>
      </c>
      <c r="H155" s="9" t="s">
        <v>2671</v>
      </c>
    </row>
    <row r="156" spans="1:8" ht="33" x14ac:dyDescent="0.25">
      <c r="A156" s="9">
        <v>108</v>
      </c>
      <c r="B156" s="9">
        <v>7</v>
      </c>
      <c r="C156" s="9" t="s">
        <v>2672</v>
      </c>
      <c r="D156" s="7" t="s">
        <v>2709</v>
      </c>
      <c r="E156" s="7" t="s">
        <v>3188</v>
      </c>
      <c r="F156" s="9">
        <v>30</v>
      </c>
      <c r="G156" s="9" t="s">
        <v>2674</v>
      </c>
      <c r="H156" s="9" t="s">
        <v>2671</v>
      </c>
    </row>
    <row r="157" spans="1:8" ht="33" x14ac:dyDescent="0.25">
      <c r="A157" s="9">
        <v>108</v>
      </c>
      <c r="B157" s="9">
        <v>7</v>
      </c>
      <c r="C157" s="9" t="s">
        <v>2672</v>
      </c>
      <c r="D157" s="7" t="s">
        <v>2733</v>
      </c>
      <c r="E157" s="7" t="s">
        <v>3214</v>
      </c>
      <c r="F157" s="9">
        <v>80</v>
      </c>
      <c r="G157" s="9" t="s">
        <v>2674</v>
      </c>
      <c r="H157" s="9" t="s">
        <v>2671</v>
      </c>
    </row>
    <row r="158" spans="1:8" x14ac:dyDescent="0.25">
      <c r="A158" s="9">
        <v>108</v>
      </c>
      <c r="B158" s="9">
        <v>7</v>
      </c>
      <c r="C158" s="9" t="s">
        <v>2672</v>
      </c>
      <c r="D158" s="7" t="s">
        <v>2818</v>
      </c>
      <c r="E158" s="7" t="s">
        <v>596</v>
      </c>
      <c r="F158" s="9">
        <v>20</v>
      </c>
      <c r="G158" s="9" t="s">
        <v>2674</v>
      </c>
      <c r="H158" s="9" t="s">
        <v>2671</v>
      </c>
    </row>
    <row r="159" spans="1:8" ht="33" x14ac:dyDescent="0.25">
      <c r="A159" s="9">
        <v>108</v>
      </c>
      <c r="B159" s="9">
        <v>7</v>
      </c>
      <c r="C159" s="9" t="s">
        <v>2672</v>
      </c>
      <c r="D159" s="7" t="s">
        <v>2690</v>
      </c>
      <c r="E159" s="7" t="s">
        <v>3154</v>
      </c>
      <c r="F159" s="9">
        <v>100</v>
      </c>
      <c r="G159" s="9" t="s">
        <v>2674</v>
      </c>
      <c r="H159" s="9" t="s">
        <v>2671</v>
      </c>
    </row>
    <row r="160" spans="1:8" x14ac:dyDescent="0.25">
      <c r="A160" s="9">
        <v>108</v>
      </c>
      <c r="B160" s="9">
        <v>7</v>
      </c>
      <c r="C160" s="9" t="s">
        <v>2672</v>
      </c>
      <c r="D160" s="7" t="s">
        <v>3199</v>
      </c>
      <c r="E160" s="7" t="s">
        <v>216</v>
      </c>
      <c r="F160" s="9">
        <v>20</v>
      </c>
      <c r="G160" s="9" t="s">
        <v>2674</v>
      </c>
      <c r="H160" s="9" t="s">
        <v>2671</v>
      </c>
    </row>
    <row r="161" spans="1:8" ht="33" x14ac:dyDescent="0.25">
      <c r="A161" s="9">
        <v>108</v>
      </c>
      <c r="B161" s="9">
        <v>7</v>
      </c>
      <c r="C161" s="9" t="s">
        <v>2672</v>
      </c>
      <c r="D161" s="7" t="s">
        <v>2805</v>
      </c>
      <c r="E161" s="7" t="s">
        <v>3289</v>
      </c>
      <c r="F161" s="9">
        <v>100</v>
      </c>
      <c r="G161" s="9" t="s">
        <v>2674</v>
      </c>
      <c r="H161" s="9" t="s">
        <v>2671</v>
      </c>
    </row>
    <row r="162" spans="1:8" x14ac:dyDescent="0.25">
      <c r="A162" s="9">
        <v>108</v>
      </c>
      <c r="B162" s="9">
        <v>7</v>
      </c>
      <c r="C162" s="9" t="s">
        <v>2672</v>
      </c>
      <c r="D162" s="7" t="s">
        <v>2821</v>
      </c>
      <c r="E162" s="7" t="s">
        <v>3310</v>
      </c>
      <c r="F162" s="9">
        <v>30</v>
      </c>
      <c r="G162" s="9" t="s">
        <v>2674</v>
      </c>
      <c r="H162" s="9" t="s">
        <v>2671</v>
      </c>
    </row>
    <row r="163" spans="1:8" customFormat="1" ht="16.149999999999999" hidden="1" x14ac:dyDescent="0.3">
      <c r="A163" s="3">
        <v>108</v>
      </c>
      <c r="B163" s="3">
        <v>7</v>
      </c>
      <c r="C163" s="3" t="s">
        <v>2672</v>
      </c>
      <c r="D163" s="4" t="s">
        <v>2832</v>
      </c>
      <c r="E163" s="4" t="s">
        <v>3326</v>
      </c>
      <c r="F163" s="3">
        <v>100</v>
      </c>
      <c r="G163" s="3" t="s">
        <v>2674</v>
      </c>
      <c r="H163" s="3" t="s">
        <v>3132</v>
      </c>
    </row>
    <row r="164" spans="1:8" customFormat="1" ht="16.149999999999999" hidden="1" x14ac:dyDescent="0.3">
      <c r="A164" s="3">
        <v>108</v>
      </c>
      <c r="B164" s="3">
        <v>7</v>
      </c>
      <c r="C164" s="3" t="s">
        <v>2672</v>
      </c>
      <c r="D164" s="4" t="s">
        <v>2784</v>
      </c>
      <c r="E164" s="4" t="s">
        <v>3269</v>
      </c>
      <c r="F164" s="3">
        <v>50</v>
      </c>
      <c r="G164" s="3" t="s">
        <v>2674</v>
      </c>
      <c r="H164" s="3" t="s">
        <v>3130</v>
      </c>
    </row>
    <row r="165" spans="1:8" customFormat="1" ht="16.149999999999999" hidden="1" x14ac:dyDescent="0.3">
      <c r="A165" s="3">
        <v>108</v>
      </c>
      <c r="B165" s="3">
        <v>7</v>
      </c>
      <c r="C165" s="3" t="s">
        <v>2672</v>
      </c>
      <c r="D165" s="4" t="s">
        <v>2847</v>
      </c>
      <c r="E165" s="4" t="s">
        <v>3351</v>
      </c>
      <c r="F165" s="3">
        <v>40</v>
      </c>
      <c r="G165" s="3" t="s">
        <v>2674</v>
      </c>
      <c r="H165" s="3" t="s">
        <v>3133</v>
      </c>
    </row>
    <row r="166" spans="1:8" customFormat="1" ht="16.149999999999999" hidden="1" x14ac:dyDescent="0.3">
      <c r="A166" s="3">
        <v>108</v>
      </c>
      <c r="B166" s="3">
        <v>7</v>
      </c>
      <c r="C166" s="3" t="s">
        <v>2672</v>
      </c>
      <c r="D166" s="4" t="s">
        <v>2806</v>
      </c>
      <c r="E166" s="4" t="s">
        <v>3187</v>
      </c>
      <c r="F166" s="3">
        <v>20</v>
      </c>
      <c r="G166" s="3" t="s">
        <v>2674</v>
      </c>
      <c r="H166" s="3" t="s">
        <v>3133</v>
      </c>
    </row>
    <row r="167" spans="1:8" customFormat="1" ht="16.149999999999999" hidden="1" x14ac:dyDescent="0.3">
      <c r="A167" s="3">
        <v>108</v>
      </c>
      <c r="B167" s="3">
        <v>7</v>
      </c>
      <c r="C167" s="3" t="s">
        <v>2672</v>
      </c>
      <c r="D167" s="4" t="s">
        <v>2775</v>
      </c>
      <c r="E167" s="4" t="s">
        <v>3265</v>
      </c>
      <c r="F167" s="3">
        <v>20</v>
      </c>
      <c r="G167" s="3" t="s">
        <v>2674</v>
      </c>
      <c r="H167" s="3" t="s">
        <v>3126</v>
      </c>
    </row>
    <row r="168" spans="1:8" customFormat="1" ht="16.149999999999999" hidden="1" x14ac:dyDescent="0.3">
      <c r="A168" s="3">
        <v>108</v>
      </c>
      <c r="B168" s="3">
        <v>7</v>
      </c>
      <c r="C168" s="3" t="s">
        <v>2672</v>
      </c>
      <c r="D168" s="4" t="s">
        <v>3152</v>
      </c>
      <c r="E168" s="4" t="s">
        <v>3153</v>
      </c>
      <c r="F168" s="3">
        <v>20</v>
      </c>
      <c r="G168" s="3" t="s">
        <v>2674</v>
      </c>
      <c r="H168" s="3" t="s">
        <v>3126</v>
      </c>
    </row>
    <row r="169" spans="1:8" customFormat="1" ht="16.149999999999999" hidden="1" x14ac:dyDescent="0.3">
      <c r="A169" s="3">
        <v>108</v>
      </c>
      <c r="B169" s="3">
        <v>7</v>
      </c>
      <c r="C169" s="3" t="s">
        <v>2672</v>
      </c>
      <c r="D169" s="4" t="s">
        <v>2718</v>
      </c>
      <c r="E169" s="4" t="s">
        <v>3198</v>
      </c>
      <c r="F169" s="3">
        <v>20</v>
      </c>
      <c r="G169" s="3" t="s">
        <v>2674</v>
      </c>
      <c r="H169" s="3" t="s">
        <v>3126</v>
      </c>
    </row>
    <row r="170" spans="1:8" customFormat="1" ht="16.149999999999999" hidden="1" x14ac:dyDescent="0.3">
      <c r="A170" s="3">
        <v>108</v>
      </c>
      <c r="B170" s="3">
        <v>7</v>
      </c>
      <c r="C170" s="3" t="s">
        <v>2672</v>
      </c>
      <c r="D170" s="4" t="s">
        <v>2822</v>
      </c>
      <c r="E170" s="4" t="s">
        <v>3309</v>
      </c>
      <c r="F170" s="3">
        <v>20</v>
      </c>
      <c r="G170" s="3" t="s">
        <v>2674</v>
      </c>
      <c r="H170" s="3" t="s">
        <v>3126</v>
      </c>
    </row>
    <row r="171" spans="1:8" customFormat="1" ht="16.149999999999999" hidden="1" x14ac:dyDescent="0.3">
      <c r="A171" s="3">
        <v>108</v>
      </c>
      <c r="B171" s="3">
        <v>7</v>
      </c>
      <c r="C171" s="3" t="s">
        <v>2672</v>
      </c>
      <c r="D171" s="4" t="s">
        <v>2813</v>
      </c>
      <c r="E171" s="4" t="s">
        <v>3305</v>
      </c>
      <c r="F171" s="3">
        <v>30</v>
      </c>
      <c r="G171" s="3" t="s">
        <v>2674</v>
      </c>
      <c r="H171" s="3" t="s">
        <v>3126</v>
      </c>
    </row>
    <row r="172" spans="1:8" customFormat="1" ht="16.149999999999999" hidden="1" x14ac:dyDescent="0.3">
      <c r="A172" s="3">
        <v>108</v>
      </c>
      <c r="B172" s="3">
        <v>7</v>
      </c>
      <c r="C172" s="3" t="s">
        <v>2672</v>
      </c>
      <c r="D172" s="4" t="s">
        <v>2823</v>
      </c>
      <c r="E172" s="4" t="s">
        <v>3313</v>
      </c>
      <c r="F172" s="3">
        <v>20</v>
      </c>
      <c r="G172" s="3" t="s">
        <v>2674</v>
      </c>
      <c r="H172" s="3" t="s">
        <v>3126</v>
      </c>
    </row>
    <row r="173" spans="1:8" customFormat="1" ht="16.149999999999999" hidden="1" x14ac:dyDescent="0.3">
      <c r="A173" s="3">
        <v>108</v>
      </c>
      <c r="B173" s="3">
        <v>7</v>
      </c>
      <c r="C173" s="3" t="s">
        <v>2672</v>
      </c>
      <c r="D173" s="4" t="s">
        <v>2699</v>
      </c>
      <c r="E173" s="4" t="s">
        <v>3173</v>
      </c>
      <c r="F173" s="3">
        <v>20</v>
      </c>
      <c r="G173" s="3" t="s">
        <v>2674</v>
      </c>
      <c r="H173" s="3" t="s">
        <v>3126</v>
      </c>
    </row>
    <row r="174" spans="1:8" customFormat="1" ht="16.149999999999999" hidden="1" x14ac:dyDescent="0.3">
      <c r="A174" s="3">
        <v>108</v>
      </c>
      <c r="B174" s="3">
        <v>7</v>
      </c>
      <c r="C174" s="3" t="s">
        <v>2672</v>
      </c>
      <c r="D174" s="4" t="s">
        <v>2719</v>
      </c>
      <c r="E174" s="4" t="s">
        <v>3205</v>
      </c>
      <c r="F174" s="3">
        <v>19.332999999999998</v>
      </c>
      <c r="G174" s="3" t="s">
        <v>2674</v>
      </c>
      <c r="H174" s="3" t="s">
        <v>3126</v>
      </c>
    </row>
    <row r="175" spans="1:8" customFormat="1" ht="16.149999999999999" hidden="1" x14ac:dyDescent="0.3">
      <c r="A175" s="3">
        <v>108</v>
      </c>
      <c r="B175" s="3">
        <v>7</v>
      </c>
      <c r="C175" s="3" t="s">
        <v>2672</v>
      </c>
      <c r="D175" s="4" t="s">
        <v>2723</v>
      </c>
      <c r="E175" s="4" t="s">
        <v>3206</v>
      </c>
      <c r="F175" s="3">
        <v>20</v>
      </c>
      <c r="G175" s="3" t="s">
        <v>2674</v>
      </c>
      <c r="H175" s="3" t="s">
        <v>3126</v>
      </c>
    </row>
    <row r="176" spans="1:8" customFormat="1" ht="16.149999999999999" hidden="1" x14ac:dyDescent="0.3">
      <c r="A176" s="3">
        <v>108</v>
      </c>
      <c r="B176" s="3">
        <v>7</v>
      </c>
      <c r="C176" s="3" t="s">
        <v>2672</v>
      </c>
      <c r="D176" s="4" t="s">
        <v>2701</v>
      </c>
      <c r="E176" s="4" t="s">
        <v>3176</v>
      </c>
      <c r="F176" s="3">
        <v>20</v>
      </c>
      <c r="G176" s="3" t="s">
        <v>2674</v>
      </c>
      <c r="H176" s="3" t="s">
        <v>3126</v>
      </c>
    </row>
    <row r="177" spans="1:8" customFormat="1" ht="16.149999999999999" hidden="1" x14ac:dyDescent="0.3">
      <c r="A177" s="3">
        <v>108</v>
      </c>
      <c r="B177" s="3">
        <v>7</v>
      </c>
      <c r="C177" s="3" t="s">
        <v>2672</v>
      </c>
      <c r="D177" s="4" t="s">
        <v>2783</v>
      </c>
      <c r="E177" s="4" t="s">
        <v>3270</v>
      </c>
      <c r="F177" s="3">
        <v>20</v>
      </c>
      <c r="G177" s="3" t="s">
        <v>2674</v>
      </c>
      <c r="H177" s="3" t="s">
        <v>3126</v>
      </c>
    </row>
    <row r="178" spans="1:8" customFormat="1" ht="16.149999999999999" hidden="1" x14ac:dyDescent="0.3">
      <c r="A178" s="3">
        <v>108</v>
      </c>
      <c r="B178" s="3">
        <v>7</v>
      </c>
      <c r="C178" s="3" t="s">
        <v>2672</v>
      </c>
      <c r="D178" s="4" t="s">
        <v>2732</v>
      </c>
      <c r="E178" s="4" t="s">
        <v>3215</v>
      </c>
      <c r="F178" s="3">
        <v>20</v>
      </c>
      <c r="G178" s="3" t="s">
        <v>2674</v>
      </c>
      <c r="H178" s="3" t="s">
        <v>3126</v>
      </c>
    </row>
    <row r="179" spans="1:8" customFormat="1" ht="16.149999999999999" hidden="1" x14ac:dyDescent="0.3">
      <c r="A179" s="3">
        <v>108</v>
      </c>
      <c r="B179" s="3">
        <v>7</v>
      </c>
      <c r="C179" s="3" t="s">
        <v>2672</v>
      </c>
      <c r="D179" s="4" t="s">
        <v>2820</v>
      </c>
      <c r="E179" s="4" t="s">
        <v>3311</v>
      </c>
      <c r="F179" s="3">
        <v>20</v>
      </c>
      <c r="G179" s="3" t="s">
        <v>2674</v>
      </c>
      <c r="H179" s="3" t="s">
        <v>3126</v>
      </c>
    </row>
    <row r="180" spans="1:8" customFormat="1" ht="16.149999999999999" hidden="1" x14ac:dyDescent="0.3">
      <c r="A180" s="3">
        <v>108</v>
      </c>
      <c r="B180" s="3">
        <v>7</v>
      </c>
      <c r="C180" s="3" t="s">
        <v>2672</v>
      </c>
      <c r="D180" s="4" t="s">
        <v>2757</v>
      </c>
      <c r="E180" s="4" t="s">
        <v>3393</v>
      </c>
      <c r="F180" s="3">
        <v>20</v>
      </c>
      <c r="G180" s="3" t="s">
        <v>2674</v>
      </c>
      <c r="H180" s="3" t="s">
        <v>3126</v>
      </c>
    </row>
    <row r="181" spans="1:8" customFormat="1" ht="16.149999999999999" hidden="1" x14ac:dyDescent="0.3">
      <c r="A181" s="3">
        <v>108</v>
      </c>
      <c r="B181" s="3">
        <v>7</v>
      </c>
      <c r="C181" s="3" t="s">
        <v>2672</v>
      </c>
      <c r="D181" s="4" t="s">
        <v>3294</v>
      </c>
      <c r="E181" s="4" t="s">
        <v>3295</v>
      </c>
      <c r="F181" s="3">
        <v>20</v>
      </c>
      <c r="G181" s="3" t="s">
        <v>2674</v>
      </c>
      <c r="H181" s="3" t="s">
        <v>3126</v>
      </c>
    </row>
    <row r="182" spans="1:8" customFormat="1" ht="16.149999999999999" hidden="1" x14ac:dyDescent="0.3">
      <c r="A182" s="3">
        <v>108</v>
      </c>
      <c r="B182" s="3">
        <v>7</v>
      </c>
      <c r="C182" s="3" t="s">
        <v>2672</v>
      </c>
      <c r="D182" s="4" t="s">
        <v>2834</v>
      </c>
      <c r="E182" s="4" t="s">
        <v>3331</v>
      </c>
      <c r="F182" s="3">
        <v>20</v>
      </c>
      <c r="G182" s="3" t="s">
        <v>2674</v>
      </c>
      <c r="H182" s="3" t="s">
        <v>3128</v>
      </c>
    </row>
    <row r="183" spans="1:8" customFormat="1" ht="16.149999999999999" hidden="1" x14ac:dyDescent="0.3">
      <c r="A183" s="3">
        <v>108</v>
      </c>
      <c r="B183" s="3">
        <v>7</v>
      </c>
      <c r="C183" s="3" t="s">
        <v>2672</v>
      </c>
      <c r="D183" s="4" t="s">
        <v>3327</v>
      </c>
      <c r="E183" s="4" t="s">
        <v>3328</v>
      </c>
      <c r="F183" s="3">
        <v>20</v>
      </c>
      <c r="G183" s="3" t="s">
        <v>2674</v>
      </c>
      <c r="H183" s="3" t="s">
        <v>3128</v>
      </c>
    </row>
    <row r="184" spans="1:8" customFormat="1" ht="16.149999999999999" hidden="1" x14ac:dyDescent="0.3">
      <c r="A184" s="3">
        <v>108</v>
      </c>
      <c r="B184" s="3">
        <v>7</v>
      </c>
      <c r="C184" s="3" t="s">
        <v>2672</v>
      </c>
      <c r="D184" s="4" t="s">
        <v>2749</v>
      </c>
      <c r="E184" s="4" t="s">
        <v>3240</v>
      </c>
      <c r="F184" s="3">
        <v>20</v>
      </c>
      <c r="G184" s="3" t="s">
        <v>2674</v>
      </c>
      <c r="H184" s="3" t="s">
        <v>3128</v>
      </c>
    </row>
    <row r="185" spans="1:8" customFormat="1" ht="16.149999999999999" hidden="1" x14ac:dyDescent="0.3">
      <c r="A185" s="3">
        <v>108</v>
      </c>
      <c r="B185" s="3">
        <v>7</v>
      </c>
      <c r="C185" s="3" t="s">
        <v>2672</v>
      </c>
      <c r="D185" s="4" t="s">
        <v>2785</v>
      </c>
      <c r="E185" s="4" t="s">
        <v>3272</v>
      </c>
      <c r="F185" s="3">
        <v>20</v>
      </c>
      <c r="G185" s="3" t="s">
        <v>2674</v>
      </c>
      <c r="H185" s="3" t="s">
        <v>3128</v>
      </c>
    </row>
    <row r="186" spans="1:8" customFormat="1" ht="16.149999999999999" hidden="1" x14ac:dyDescent="0.3">
      <c r="A186" s="3">
        <v>108</v>
      </c>
      <c r="B186" s="3">
        <v>7</v>
      </c>
      <c r="C186" s="3" t="s">
        <v>2672</v>
      </c>
      <c r="D186" s="4" t="s">
        <v>2720</v>
      </c>
      <c r="E186" s="4" t="s">
        <v>3204</v>
      </c>
      <c r="F186" s="3">
        <v>15</v>
      </c>
      <c r="G186" s="3" t="s">
        <v>2674</v>
      </c>
      <c r="H186" s="3" t="s">
        <v>3128</v>
      </c>
    </row>
    <row r="187" spans="1:8" customFormat="1" ht="16.149999999999999" hidden="1" x14ac:dyDescent="0.3">
      <c r="A187" s="3">
        <v>108</v>
      </c>
      <c r="B187" s="3">
        <v>7</v>
      </c>
      <c r="C187" s="3" t="s">
        <v>2672</v>
      </c>
      <c r="D187" s="4" t="s">
        <v>2835</v>
      </c>
      <c r="E187" s="4" t="s">
        <v>3330</v>
      </c>
      <c r="F187" s="3">
        <v>20</v>
      </c>
      <c r="G187" s="3" t="s">
        <v>2674</v>
      </c>
      <c r="H187" s="3" t="s">
        <v>3128</v>
      </c>
    </row>
    <row r="188" spans="1:8" customFormat="1" ht="16.149999999999999" hidden="1" x14ac:dyDescent="0.3">
      <c r="A188" s="3">
        <v>108</v>
      </c>
      <c r="B188" s="3">
        <v>7</v>
      </c>
      <c r="C188" s="3" t="s">
        <v>2672</v>
      </c>
      <c r="D188" s="4" t="s">
        <v>2735</v>
      </c>
      <c r="E188" s="4" t="s">
        <v>3216</v>
      </c>
      <c r="F188" s="3">
        <v>20</v>
      </c>
      <c r="G188" s="3" t="s">
        <v>2674</v>
      </c>
      <c r="H188" s="3" t="s">
        <v>3128</v>
      </c>
    </row>
    <row r="189" spans="1:8" customFormat="1" ht="16.149999999999999" hidden="1" x14ac:dyDescent="0.3">
      <c r="A189" s="3">
        <v>108</v>
      </c>
      <c r="B189" s="3">
        <v>7</v>
      </c>
      <c r="C189" s="3" t="s">
        <v>2672</v>
      </c>
      <c r="D189" s="4" t="s">
        <v>2848</v>
      </c>
      <c r="E189" s="4" t="s">
        <v>3350</v>
      </c>
      <c r="F189" s="3">
        <v>20</v>
      </c>
      <c r="G189" s="3" t="s">
        <v>2674</v>
      </c>
      <c r="H189" s="3" t="s">
        <v>3128</v>
      </c>
    </row>
    <row r="190" spans="1:8" customFormat="1" ht="16.149999999999999" hidden="1" x14ac:dyDescent="0.3">
      <c r="A190" s="3">
        <v>108</v>
      </c>
      <c r="B190" s="3">
        <v>7</v>
      </c>
      <c r="C190" s="3" t="s">
        <v>2672</v>
      </c>
      <c r="D190" s="4" t="s">
        <v>2740</v>
      </c>
      <c r="E190" s="4" t="s">
        <v>3227</v>
      </c>
      <c r="F190" s="3">
        <v>20</v>
      </c>
      <c r="G190" s="3" t="s">
        <v>2674</v>
      </c>
      <c r="H190" s="3" t="s">
        <v>3128</v>
      </c>
    </row>
    <row r="191" spans="1:8" customFormat="1" ht="16.149999999999999" hidden="1" x14ac:dyDescent="0.3">
      <c r="A191" s="3">
        <v>108</v>
      </c>
      <c r="B191" s="3">
        <v>7</v>
      </c>
      <c r="C191" s="3" t="s">
        <v>2672</v>
      </c>
      <c r="D191" s="4" t="s">
        <v>3219</v>
      </c>
      <c r="E191" s="4" t="s">
        <v>3220</v>
      </c>
      <c r="F191" s="3">
        <v>20</v>
      </c>
      <c r="G191" s="3" t="s">
        <v>2674</v>
      </c>
      <c r="H191" s="3" t="s">
        <v>3122</v>
      </c>
    </row>
    <row r="192" spans="1:8" customFormat="1" ht="16.149999999999999" hidden="1" x14ac:dyDescent="0.3">
      <c r="A192" s="3">
        <v>108</v>
      </c>
      <c r="B192" s="3">
        <v>7</v>
      </c>
      <c r="C192" s="3" t="s">
        <v>2672</v>
      </c>
      <c r="D192" s="4" t="s">
        <v>2710</v>
      </c>
      <c r="E192" s="4" t="s">
        <v>3186</v>
      </c>
      <c r="F192" s="3">
        <v>20</v>
      </c>
      <c r="G192" s="3" t="s">
        <v>2674</v>
      </c>
      <c r="H192" s="3" t="s">
        <v>3122</v>
      </c>
    </row>
    <row r="193" spans="1:8" customFormat="1" ht="16.149999999999999" hidden="1" x14ac:dyDescent="0.3">
      <c r="A193" s="3">
        <v>108</v>
      </c>
      <c r="B193" s="3">
        <v>7</v>
      </c>
      <c r="C193" s="3" t="s">
        <v>2672</v>
      </c>
      <c r="D193" s="4" t="s">
        <v>2689</v>
      </c>
      <c r="E193" s="4" t="s">
        <v>3155</v>
      </c>
      <c r="F193" s="3">
        <v>20</v>
      </c>
      <c r="G193" s="3" t="s">
        <v>2674</v>
      </c>
      <c r="H193" s="3" t="s">
        <v>3122</v>
      </c>
    </row>
    <row r="194" spans="1:8" customFormat="1" ht="16.149999999999999" hidden="1" x14ac:dyDescent="0.3">
      <c r="A194" s="3">
        <v>108</v>
      </c>
      <c r="B194" s="3">
        <v>7</v>
      </c>
      <c r="C194" s="3" t="s">
        <v>2672</v>
      </c>
      <c r="D194" s="4" t="s">
        <v>2794</v>
      </c>
      <c r="E194" s="4" t="s">
        <v>3279</v>
      </c>
      <c r="F194" s="3">
        <v>20</v>
      </c>
      <c r="G194" s="3" t="s">
        <v>2674</v>
      </c>
      <c r="H194" s="3" t="s">
        <v>3122</v>
      </c>
    </row>
    <row r="195" spans="1:8" customFormat="1" ht="16.149999999999999" hidden="1" x14ac:dyDescent="0.3">
      <c r="A195" s="3">
        <v>108</v>
      </c>
      <c r="B195" s="3">
        <v>7</v>
      </c>
      <c r="C195" s="3" t="s">
        <v>2672</v>
      </c>
      <c r="D195" s="4" t="s">
        <v>2826</v>
      </c>
      <c r="E195" s="4" t="s">
        <v>3312</v>
      </c>
      <c r="F195" s="3">
        <v>20</v>
      </c>
      <c r="G195" s="3" t="s">
        <v>2674</v>
      </c>
      <c r="H195" s="3" t="s">
        <v>3122</v>
      </c>
    </row>
    <row r="196" spans="1:8" customFormat="1" ht="16.149999999999999" hidden="1" x14ac:dyDescent="0.3">
      <c r="A196" s="3">
        <v>108</v>
      </c>
      <c r="B196" s="3">
        <v>7</v>
      </c>
      <c r="C196" s="3" t="s">
        <v>2672</v>
      </c>
      <c r="D196" s="4" t="s">
        <v>2786</v>
      </c>
      <c r="E196" s="4" t="s">
        <v>3275</v>
      </c>
      <c r="F196" s="3">
        <v>50</v>
      </c>
      <c r="G196" s="3" t="s">
        <v>2674</v>
      </c>
      <c r="H196" s="3" t="s">
        <v>3122</v>
      </c>
    </row>
    <row r="197" spans="1:8" customFormat="1" ht="16.149999999999999" hidden="1" x14ac:dyDescent="0.3">
      <c r="A197" s="3">
        <v>108</v>
      </c>
      <c r="B197" s="3">
        <v>7</v>
      </c>
      <c r="C197" s="3" t="s">
        <v>2672</v>
      </c>
      <c r="D197" s="4" t="s">
        <v>2707</v>
      </c>
      <c r="E197" s="4" t="s">
        <v>3187</v>
      </c>
      <c r="F197" s="3">
        <v>15</v>
      </c>
      <c r="G197" s="3" t="s">
        <v>2674</v>
      </c>
      <c r="H197" s="3" t="s">
        <v>3122</v>
      </c>
    </row>
    <row r="198" spans="1:8" customFormat="1" ht="16.149999999999999" hidden="1" x14ac:dyDescent="0.3">
      <c r="A198" s="3">
        <v>108</v>
      </c>
      <c r="B198" s="3">
        <v>7</v>
      </c>
      <c r="C198" s="3" t="s">
        <v>2672</v>
      </c>
      <c r="D198" s="4" t="s">
        <v>2713</v>
      </c>
      <c r="E198" s="4" t="s">
        <v>3191</v>
      </c>
      <c r="F198" s="3">
        <v>30</v>
      </c>
      <c r="G198" s="3" t="s">
        <v>2674</v>
      </c>
      <c r="H198" s="3" t="s">
        <v>3122</v>
      </c>
    </row>
    <row r="199" spans="1:8" customFormat="1" ht="16.149999999999999" hidden="1" x14ac:dyDescent="0.3">
      <c r="A199" s="3">
        <v>108</v>
      </c>
      <c r="B199" s="3">
        <v>7</v>
      </c>
      <c r="C199" s="3" t="s">
        <v>2672</v>
      </c>
      <c r="D199" s="4" t="s">
        <v>2815</v>
      </c>
      <c r="E199" s="4" t="s">
        <v>3306</v>
      </c>
      <c r="F199" s="3">
        <v>15</v>
      </c>
      <c r="G199" s="3" t="s">
        <v>2674</v>
      </c>
      <c r="H199" s="3" t="s">
        <v>3122</v>
      </c>
    </row>
    <row r="200" spans="1:8" customFormat="1" ht="16.149999999999999" hidden="1" x14ac:dyDescent="0.3">
      <c r="A200" s="3">
        <v>108</v>
      </c>
      <c r="B200" s="3">
        <v>7</v>
      </c>
      <c r="C200" s="3" t="s">
        <v>2672</v>
      </c>
      <c r="D200" s="4" t="s">
        <v>2752</v>
      </c>
      <c r="E200" s="4" t="s">
        <v>3243</v>
      </c>
      <c r="F200" s="3">
        <v>30</v>
      </c>
      <c r="G200" s="3" t="s">
        <v>2674</v>
      </c>
      <c r="H200" s="3" t="s">
        <v>3122</v>
      </c>
    </row>
    <row r="201" spans="1:8" customFormat="1" ht="16.149999999999999" hidden="1" x14ac:dyDescent="0.3">
      <c r="A201" s="3">
        <v>108</v>
      </c>
      <c r="B201" s="3">
        <v>7</v>
      </c>
      <c r="C201" s="3" t="s">
        <v>2672</v>
      </c>
      <c r="D201" s="4" t="s">
        <v>2680</v>
      </c>
      <c r="E201" s="4" t="s">
        <v>3142</v>
      </c>
      <c r="F201" s="3">
        <v>20</v>
      </c>
      <c r="G201" s="3" t="s">
        <v>2674</v>
      </c>
      <c r="H201" s="3" t="s">
        <v>3122</v>
      </c>
    </row>
    <row r="202" spans="1:8" customFormat="1" ht="16.149999999999999" hidden="1" x14ac:dyDescent="0.3">
      <c r="A202" s="3">
        <v>108</v>
      </c>
      <c r="B202" s="3">
        <v>7</v>
      </c>
      <c r="C202" s="3" t="s">
        <v>2672</v>
      </c>
      <c r="D202" s="4" t="s">
        <v>2730</v>
      </c>
      <c r="E202" s="4" t="s">
        <v>3212</v>
      </c>
      <c r="F202" s="3">
        <v>20</v>
      </c>
      <c r="G202" s="3" t="s">
        <v>2674</v>
      </c>
      <c r="H202" s="3" t="s">
        <v>3122</v>
      </c>
    </row>
    <row r="203" spans="1:8" customFormat="1" ht="16.149999999999999" hidden="1" x14ac:dyDescent="0.3">
      <c r="A203" s="3">
        <v>108</v>
      </c>
      <c r="B203" s="3">
        <v>7</v>
      </c>
      <c r="C203" s="3" t="s">
        <v>2672</v>
      </c>
      <c r="D203" s="4" t="s">
        <v>2809</v>
      </c>
      <c r="E203" s="4" t="s">
        <v>3298</v>
      </c>
      <c r="F203" s="3">
        <v>20</v>
      </c>
      <c r="G203" s="3" t="s">
        <v>2674</v>
      </c>
      <c r="H203" s="3" t="s">
        <v>3122</v>
      </c>
    </row>
    <row r="204" spans="1:8" customFormat="1" ht="16.149999999999999" hidden="1" x14ac:dyDescent="0.3">
      <c r="A204" s="3">
        <v>108</v>
      </c>
      <c r="B204" s="3">
        <v>7</v>
      </c>
      <c r="C204" s="3" t="s">
        <v>2672</v>
      </c>
      <c r="D204" s="4" t="s">
        <v>2764</v>
      </c>
      <c r="E204" s="4" t="s">
        <v>3252</v>
      </c>
      <c r="F204" s="3">
        <v>20</v>
      </c>
      <c r="G204" s="3" t="s">
        <v>2674</v>
      </c>
      <c r="H204" s="3" t="s">
        <v>3122</v>
      </c>
    </row>
    <row r="205" spans="1:8" customFormat="1" ht="16.149999999999999" hidden="1" x14ac:dyDescent="0.3">
      <c r="A205" s="3">
        <v>108</v>
      </c>
      <c r="B205" s="3">
        <v>7</v>
      </c>
      <c r="C205" s="3" t="s">
        <v>2672</v>
      </c>
      <c r="D205" s="4" t="s">
        <v>2763</v>
      </c>
      <c r="E205" s="4" t="s">
        <v>3253</v>
      </c>
      <c r="F205" s="3">
        <v>20</v>
      </c>
      <c r="G205" s="3" t="s">
        <v>2674</v>
      </c>
      <c r="H205" s="3" t="s">
        <v>3122</v>
      </c>
    </row>
    <row r="206" spans="1:8" customFormat="1" ht="16.149999999999999" hidden="1" x14ac:dyDescent="0.3">
      <c r="A206" s="3">
        <v>108</v>
      </c>
      <c r="B206" s="3">
        <v>7</v>
      </c>
      <c r="C206" s="3" t="s">
        <v>2672</v>
      </c>
      <c r="D206" s="4" t="s">
        <v>2694</v>
      </c>
      <c r="E206" s="4" t="s">
        <v>3162</v>
      </c>
      <c r="F206" s="3">
        <v>20</v>
      </c>
      <c r="G206" s="3" t="s">
        <v>2674</v>
      </c>
      <c r="H206" s="3" t="s">
        <v>3122</v>
      </c>
    </row>
    <row r="207" spans="1:8" customFormat="1" ht="16.149999999999999" hidden="1" x14ac:dyDescent="0.3">
      <c r="A207" s="3">
        <v>108</v>
      </c>
      <c r="B207" s="3">
        <v>7</v>
      </c>
      <c r="C207" s="3" t="s">
        <v>2672</v>
      </c>
      <c r="D207" s="4" t="s">
        <v>3346</v>
      </c>
      <c r="E207" s="4" t="s">
        <v>3347</v>
      </c>
      <c r="F207" s="3">
        <v>50</v>
      </c>
      <c r="G207" s="3" t="s">
        <v>2674</v>
      </c>
      <c r="H207" s="3" t="s">
        <v>3122</v>
      </c>
    </row>
    <row r="208" spans="1:8" customFormat="1" ht="16.149999999999999" hidden="1" x14ac:dyDescent="0.3">
      <c r="A208" s="3">
        <v>108</v>
      </c>
      <c r="B208" s="3">
        <v>7</v>
      </c>
      <c r="C208" s="3" t="s">
        <v>2672</v>
      </c>
      <c r="D208" s="4" t="s">
        <v>3174</v>
      </c>
      <c r="E208" s="4" t="s">
        <v>3175</v>
      </c>
      <c r="F208" s="3">
        <v>20</v>
      </c>
      <c r="G208" s="3" t="s">
        <v>2674</v>
      </c>
      <c r="H208" s="3" t="s">
        <v>3122</v>
      </c>
    </row>
    <row r="209" spans="1:8" customFormat="1" ht="16.149999999999999" hidden="1" x14ac:dyDescent="0.3">
      <c r="A209" s="3">
        <v>108</v>
      </c>
      <c r="B209" s="3">
        <v>7</v>
      </c>
      <c r="C209" s="3" t="s">
        <v>2672</v>
      </c>
      <c r="D209" s="4" t="s">
        <v>2808</v>
      </c>
      <c r="E209" s="4" t="s">
        <v>548</v>
      </c>
      <c r="F209" s="3">
        <v>20</v>
      </c>
      <c r="G209" s="3" t="s">
        <v>2674</v>
      </c>
      <c r="H209" s="3" t="s">
        <v>3122</v>
      </c>
    </row>
    <row r="210" spans="1:8" customFormat="1" ht="16.149999999999999" hidden="1" x14ac:dyDescent="0.3">
      <c r="A210" s="3">
        <v>108</v>
      </c>
      <c r="B210" s="3">
        <v>7</v>
      </c>
      <c r="C210" s="3" t="s">
        <v>2672</v>
      </c>
      <c r="D210" s="4" t="s">
        <v>2777</v>
      </c>
      <c r="E210" s="4" t="s">
        <v>3267</v>
      </c>
      <c r="F210" s="3">
        <v>50</v>
      </c>
      <c r="G210" s="3" t="s">
        <v>2674</v>
      </c>
      <c r="H210" s="3" t="s">
        <v>3122</v>
      </c>
    </row>
    <row r="211" spans="1:8" customFormat="1" ht="16.149999999999999" hidden="1" x14ac:dyDescent="0.3">
      <c r="A211" s="3">
        <v>108</v>
      </c>
      <c r="B211" s="3">
        <v>7</v>
      </c>
      <c r="C211" s="3" t="s">
        <v>2672</v>
      </c>
      <c r="D211" s="4" t="s">
        <v>2804</v>
      </c>
      <c r="E211" s="4" t="s">
        <v>3290</v>
      </c>
      <c r="F211" s="3">
        <v>10</v>
      </c>
      <c r="G211" s="3" t="s">
        <v>2674</v>
      </c>
      <c r="H211" s="3" t="s">
        <v>3122</v>
      </c>
    </row>
    <row r="212" spans="1:8" customFormat="1" ht="16.149999999999999" hidden="1" x14ac:dyDescent="0.3">
      <c r="A212" s="3">
        <v>108</v>
      </c>
      <c r="B212" s="3">
        <v>7</v>
      </c>
      <c r="C212" s="3" t="s">
        <v>2672</v>
      </c>
      <c r="D212" s="4" t="s">
        <v>2769</v>
      </c>
      <c r="E212" s="4" t="s">
        <v>3256</v>
      </c>
      <c r="F212" s="3">
        <v>20</v>
      </c>
      <c r="G212" s="3" t="s">
        <v>2674</v>
      </c>
      <c r="H212" s="3" t="s">
        <v>3122</v>
      </c>
    </row>
    <row r="213" spans="1:8" customFormat="1" ht="16.149999999999999" hidden="1" x14ac:dyDescent="0.3">
      <c r="A213" s="3">
        <v>108</v>
      </c>
      <c r="B213" s="3">
        <v>7</v>
      </c>
      <c r="C213" s="3" t="s">
        <v>2672</v>
      </c>
      <c r="D213" s="4" t="s">
        <v>3287</v>
      </c>
      <c r="E213" s="4" t="s">
        <v>3288</v>
      </c>
      <c r="F213" s="3">
        <v>20</v>
      </c>
      <c r="G213" s="3" t="s">
        <v>2674</v>
      </c>
      <c r="H213" s="3" t="s">
        <v>3122</v>
      </c>
    </row>
    <row r="214" spans="1:8" customFormat="1" ht="16.149999999999999" hidden="1" x14ac:dyDescent="0.3">
      <c r="A214" s="3">
        <v>108</v>
      </c>
      <c r="B214" s="3">
        <v>7</v>
      </c>
      <c r="C214" s="3" t="s">
        <v>2672</v>
      </c>
      <c r="D214" s="4" t="s">
        <v>2796</v>
      </c>
      <c r="E214" s="4" t="s">
        <v>3280</v>
      </c>
      <c r="F214" s="3">
        <v>20</v>
      </c>
      <c r="G214" s="3" t="s">
        <v>2674</v>
      </c>
      <c r="H214" s="3" t="s">
        <v>3122</v>
      </c>
    </row>
    <row r="215" spans="1:8" customFormat="1" ht="16.149999999999999" hidden="1" x14ac:dyDescent="0.3">
      <c r="A215" s="3">
        <v>108</v>
      </c>
      <c r="B215" s="3">
        <v>7</v>
      </c>
      <c r="C215" s="3" t="s">
        <v>2672</v>
      </c>
      <c r="D215" s="4" t="s">
        <v>2744</v>
      </c>
      <c r="E215" s="4" t="s">
        <v>3233</v>
      </c>
      <c r="F215" s="3">
        <v>20</v>
      </c>
      <c r="G215" s="3" t="s">
        <v>2674</v>
      </c>
      <c r="H215" s="3" t="s">
        <v>3122</v>
      </c>
    </row>
    <row r="216" spans="1:8" customFormat="1" ht="16.149999999999999" hidden="1" x14ac:dyDescent="0.3">
      <c r="A216" s="3">
        <v>108</v>
      </c>
      <c r="B216" s="3">
        <v>7</v>
      </c>
      <c r="C216" s="3" t="s">
        <v>2940</v>
      </c>
      <c r="D216" s="4" t="s">
        <v>2941</v>
      </c>
      <c r="E216" s="4" t="s">
        <v>3458</v>
      </c>
      <c r="F216" s="3">
        <v>300</v>
      </c>
      <c r="G216" s="3" t="s">
        <v>2674</v>
      </c>
      <c r="H216" s="3" t="s">
        <v>3133</v>
      </c>
    </row>
    <row r="217" spans="1:8" customFormat="1" ht="16.149999999999999" hidden="1" x14ac:dyDescent="0.3">
      <c r="A217" s="3">
        <v>108</v>
      </c>
      <c r="B217" s="3">
        <v>7</v>
      </c>
      <c r="C217" s="3" t="s">
        <v>2940</v>
      </c>
      <c r="D217" s="4" t="s">
        <v>2945</v>
      </c>
      <c r="E217" s="4" t="s">
        <v>3460</v>
      </c>
      <c r="F217" s="3">
        <v>30</v>
      </c>
      <c r="G217" s="3" t="s">
        <v>2674</v>
      </c>
      <c r="H217" s="3" t="s">
        <v>3133</v>
      </c>
    </row>
    <row r="218" spans="1:8" customFormat="1" ht="16.149999999999999" hidden="1" x14ac:dyDescent="0.3">
      <c r="A218" s="3">
        <v>108</v>
      </c>
      <c r="B218" s="3">
        <v>7</v>
      </c>
      <c r="C218" s="3" t="s">
        <v>2940</v>
      </c>
      <c r="D218" s="4" t="s">
        <v>2944</v>
      </c>
      <c r="E218" s="4" t="s">
        <v>3459</v>
      </c>
      <c r="F218" s="3">
        <v>30</v>
      </c>
      <c r="G218" s="3" t="s">
        <v>2674</v>
      </c>
      <c r="H218" s="3" t="s">
        <v>3122</v>
      </c>
    </row>
    <row r="219" spans="1:8" customFormat="1" ht="16.149999999999999" hidden="1" x14ac:dyDescent="0.3">
      <c r="A219" s="3">
        <v>108</v>
      </c>
      <c r="B219" s="3">
        <v>7</v>
      </c>
      <c r="C219" s="3" t="s">
        <v>2940</v>
      </c>
      <c r="D219" s="4" t="s">
        <v>2943</v>
      </c>
      <c r="E219" s="4" t="s">
        <v>1288</v>
      </c>
      <c r="F219" s="3">
        <v>50</v>
      </c>
      <c r="G219" s="3" t="s">
        <v>2674</v>
      </c>
      <c r="H219" s="3" t="s">
        <v>3135</v>
      </c>
    </row>
    <row r="220" spans="1:8" customFormat="1" ht="16.149999999999999" hidden="1" x14ac:dyDescent="0.3">
      <c r="A220" s="3">
        <v>108</v>
      </c>
      <c r="B220" s="3">
        <v>7</v>
      </c>
      <c r="C220" s="3" t="s">
        <v>2940</v>
      </c>
      <c r="D220" s="4" t="s">
        <v>2942</v>
      </c>
      <c r="E220" s="4" t="s">
        <v>1283</v>
      </c>
      <c r="F220" s="3">
        <v>30</v>
      </c>
      <c r="G220" s="3" t="s">
        <v>2674</v>
      </c>
      <c r="H220" s="3" t="s">
        <v>3135</v>
      </c>
    </row>
    <row r="221" spans="1:8" x14ac:dyDescent="0.25">
      <c r="A221" s="9">
        <v>108</v>
      </c>
      <c r="B221" s="9">
        <v>7</v>
      </c>
      <c r="C221" s="9" t="s">
        <v>2961</v>
      </c>
      <c r="D221" s="7" t="s">
        <v>3667</v>
      </c>
      <c r="E221" s="7" t="s">
        <v>3665</v>
      </c>
      <c r="F221" s="9">
        <v>50</v>
      </c>
      <c r="G221" s="9" t="s">
        <v>2674</v>
      </c>
      <c r="H221" s="9" t="s">
        <v>3666</v>
      </c>
    </row>
    <row r="222" spans="1:8" x14ac:dyDescent="0.25">
      <c r="A222" s="9">
        <v>108</v>
      </c>
      <c r="B222" s="9">
        <v>7</v>
      </c>
      <c r="C222" s="9" t="s">
        <v>3024</v>
      </c>
      <c r="D222" s="7" t="s">
        <v>3545</v>
      </c>
      <c r="E222" s="7" t="s">
        <v>3547</v>
      </c>
      <c r="F222" s="9">
        <v>18.100999999999999</v>
      </c>
      <c r="G222" s="9" t="s">
        <v>2674</v>
      </c>
      <c r="H222" s="9" t="s">
        <v>2670</v>
      </c>
    </row>
    <row r="223" spans="1:8" ht="33" x14ac:dyDescent="0.25">
      <c r="A223" s="9">
        <v>108</v>
      </c>
      <c r="B223" s="9">
        <v>7</v>
      </c>
      <c r="C223" s="9" t="s">
        <v>3024</v>
      </c>
      <c r="D223" s="7" t="s">
        <v>3031</v>
      </c>
      <c r="E223" s="7" t="s">
        <v>1975</v>
      </c>
      <c r="F223" s="9">
        <v>260.57</v>
      </c>
      <c r="G223" s="9" t="s">
        <v>2674</v>
      </c>
      <c r="H223" s="9" t="s">
        <v>2670</v>
      </c>
    </row>
    <row r="224" spans="1:8" x14ac:dyDescent="0.25">
      <c r="A224" s="9">
        <v>108</v>
      </c>
      <c r="B224" s="9">
        <v>7</v>
      </c>
      <c r="C224" s="9" t="s">
        <v>3024</v>
      </c>
      <c r="D224" s="7" t="s">
        <v>3546</v>
      </c>
      <c r="E224" s="7" t="s">
        <v>3548</v>
      </c>
      <c r="F224" s="9">
        <v>26.867999999999999</v>
      </c>
      <c r="G224" s="9" t="s">
        <v>2674</v>
      </c>
      <c r="H224" s="9" t="s">
        <v>2670</v>
      </c>
    </row>
    <row r="225" spans="1:8" ht="33" x14ac:dyDescent="0.25">
      <c r="A225" s="9">
        <v>108</v>
      </c>
      <c r="B225" s="9">
        <v>7</v>
      </c>
      <c r="C225" s="9" t="s">
        <v>3024</v>
      </c>
      <c r="D225" s="7" t="s">
        <v>3034</v>
      </c>
      <c r="E225" s="7" t="s">
        <v>3515</v>
      </c>
      <c r="F225" s="9">
        <v>100</v>
      </c>
      <c r="G225" s="9" t="s">
        <v>2674</v>
      </c>
      <c r="H225" s="9" t="s">
        <v>2670</v>
      </c>
    </row>
    <row r="226" spans="1:8" x14ac:dyDescent="0.25">
      <c r="A226" s="9">
        <v>108</v>
      </c>
      <c r="B226" s="9">
        <v>7</v>
      </c>
      <c r="C226" s="9" t="s">
        <v>3024</v>
      </c>
      <c r="D226" s="7" t="s">
        <v>3033</v>
      </c>
      <c r="E226" s="7" t="s">
        <v>3514</v>
      </c>
      <c r="F226" s="9">
        <v>100</v>
      </c>
      <c r="G226" s="9" t="s">
        <v>2674</v>
      </c>
      <c r="H226" s="9" t="s">
        <v>2670</v>
      </c>
    </row>
    <row r="227" spans="1:8" x14ac:dyDescent="0.25">
      <c r="A227" s="9">
        <v>108</v>
      </c>
      <c r="B227" s="9">
        <v>7</v>
      </c>
      <c r="C227" s="9" t="s">
        <v>3024</v>
      </c>
      <c r="D227" s="7" t="s">
        <v>3025</v>
      </c>
      <c r="E227" s="7" t="s">
        <v>3492</v>
      </c>
      <c r="F227" s="9">
        <v>20</v>
      </c>
      <c r="G227" s="9" t="s">
        <v>2674</v>
      </c>
      <c r="H227" s="9" t="s">
        <v>2670</v>
      </c>
    </row>
    <row r="228" spans="1:8" x14ac:dyDescent="0.25">
      <c r="A228" s="9">
        <v>108</v>
      </c>
      <c r="B228" s="9">
        <v>7</v>
      </c>
      <c r="C228" s="9" t="s">
        <v>3024</v>
      </c>
      <c r="D228" s="7" t="s">
        <v>3025</v>
      </c>
      <c r="E228" s="7" t="s">
        <v>1923</v>
      </c>
      <c r="F228" s="9">
        <v>50</v>
      </c>
      <c r="G228" s="9" t="s">
        <v>2674</v>
      </c>
      <c r="H228" s="9" t="s">
        <v>2670</v>
      </c>
    </row>
    <row r="229" spans="1:8" x14ac:dyDescent="0.25">
      <c r="A229" s="9">
        <v>108</v>
      </c>
      <c r="B229" s="9">
        <v>7</v>
      </c>
      <c r="C229" s="9" t="s">
        <v>3024</v>
      </c>
      <c r="D229" s="7" t="s">
        <v>3025</v>
      </c>
      <c r="E229" s="7" t="s">
        <v>3497</v>
      </c>
      <c r="F229" s="9">
        <v>50</v>
      </c>
      <c r="G229" s="9" t="s">
        <v>2674</v>
      </c>
      <c r="H229" s="9" t="s">
        <v>2670</v>
      </c>
    </row>
    <row r="230" spans="1:8" x14ac:dyDescent="0.25">
      <c r="A230" s="9">
        <v>108</v>
      </c>
      <c r="B230" s="9">
        <v>7</v>
      </c>
      <c r="C230" s="9" t="s">
        <v>3024</v>
      </c>
      <c r="D230" s="7" t="s">
        <v>3025</v>
      </c>
      <c r="E230" s="7" t="s">
        <v>3499</v>
      </c>
      <c r="F230" s="9">
        <v>70</v>
      </c>
      <c r="G230" s="9" t="s">
        <v>2674</v>
      </c>
      <c r="H230" s="9" t="s">
        <v>2670</v>
      </c>
    </row>
    <row r="231" spans="1:8" x14ac:dyDescent="0.25">
      <c r="A231" s="9">
        <v>108</v>
      </c>
      <c r="B231" s="9">
        <v>7</v>
      </c>
      <c r="C231" s="9" t="s">
        <v>3024</v>
      </c>
      <c r="D231" s="7" t="s">
        <v>3025</v>
      </c>
      <c r="E231" s="7" t="s">
        <v>1932</v>
      </c>
      <c r="F231" s="9">
        <v>95</v>
      </c>
      <c r="G231" s="9" t="s">
        <v>2674</v>
      </c>
      <c r="H231" s="9" t="s">
        <v>2670</v>
      </c>
    </row>
    <row r="232" spans="1:8" x14ac:dyDescent="0.25">
      <c r="A232" s="9">
        <v>108</v>
      </c>
      <c r="B232" s="9">
        <v>7</v>
      </c>
      <c r="C232" s="9" t="s">
        <v>3024</v>
      </c>
      <c r="D232" s="7" t="s">
        <v>3025</v>
      </c>
      <c r="E232" s="7" t="s">
        <v>3498</v>
      </c>
      <c r="F232" s="9">
        <v>20</v>
      </c>
      <c r="G232" s="9" t="s">
        <v>2674</v>
      </c>
      <c r="H232" s="9" t="s">
        <v>2670</v>
      </c>
    </row>
    <row r="233" spans="1:8" x14ac:dyDescent="0.25">
      <c r="A233" s="9">
        <v>108</v>
      </c>
      <c r="B233" s="9">
        <v>7</v>
      </c>
      <c r="C233" s="9" t="s">
        <v>3024</v>
      </c>
      <c r="D233" s="7" t="s">
        <v>3025</v>
      </c>
      <c r="E233" s="7" t="s">
        <v>1937</v>
      </c>
      <c r="F233" s="9">
        <v>20</v>
      </c>
      <c r="G233" s="9" t="s">
        <v>2674</v>
      </c>
      <c r="H233" s="9" t="s">
        <v>2670</v>
      </c>
    </row>
    <row r="234" spans="1:8" x14ac:dyDescent="0.25">
      <c r="A234" s="9">
        <v>108</v>
      </c>
      <c r="B234" s="9">
        <v>7</v>
      </c>
      <c r="C234" s="9" t="s">
        <v>3024</v>
      </c>
      <c r="D234" s="7" t="s">
        <v>3025</v>
      </c>
      <c r="E234" s="7" t="s">
        <v>3503</v>
      </c>
      <c r="F234" s="9">
        <v>20</v>
      </c>
      <c r="G234" s="9" t="s">
        <v>2674</v>
      </c>
      <c r="H234" s="9" t="s">
        <v>2670</v>
      </c>
    </row>
    <row r="235" spans="1:8" x14ac:dyDescent="0.25">
      <c r="A235" s="9">
        <v>108</v>
      </c>
      <c r="B235" s="9">
        <v>7</v>
      </c>
      <c r="C235" s="9" t="s">
        <v>3024</v>
      </c>
      <c r="D235" s="7" t="s">
        <v>3025</v>
      </c>
      <c r="E235" s="7" t="s">
        <v>3504</v>
      </c>
      <c r="F235" s="9">
        <v>20</v>
      </c>
      <c r="G235" s="9" t="s">
        <v>2674</v>
      </c>
      <c r="H235" s="9" t="s">
        <v>2670</v>
      </c>
    </row>
    <row r="236" spans="1:8" x14ac:dyDescent="0.25">
      <c r="A236" s="9">
        <v>108</v>
      </c>
      <c r="B236" s="9">
        <v>7</v>
      </c>
      <c r="C236" s="9" t="s">
        <v>3024</v>
      </c>
      <c r="D236" s="7" t="s">
        <v>3025</v>
      </c>
      <c r="E236" s="7" t="s">
        <v>3505</v>
      </c>
      <c r="F236" s="9">
        <v>20</v>
      </c>
      <c r="G236" s="9" t="s">
        <v>2674</v>
      </c>
      <c r="H236" s="9" t="s">
        <v>2670</v>
      </c>
    </row>
    <row r="237" spans="1:8" x14ac:dyDescent="0.25">
      <c r="A237" s="9">
        <v>108</v>
      </c>
      <c r="B237" s="9">
        <v>7</v>
      </c>
      <c r="C237" s="9" t="s">
        <v>3024</v>
      </c>
      <c r="D237" s="7" t="s">
        <v>3025</v>
      </c>
      <c r="E237" s="7" t="s">
        <v>1957</v>
      </c>
      <c r="F237" s="9">
        <v>10.5</v>
      </c>
      <c r="G237" s="9" t="s">
        <v>2674</v>
      </c>
      <c r="H237" s="9" t="s">
        <v>2670</v>
      </c>
    </row>
    <row r="238" spans="1:8" x14ac:dyDescent="0.25">
      <c r="A238" s="9">
        <v>108</v>
      </c>
      <c r="B238" s="9">
        <v>7</v>
      </c>
      <c r="C238" s="9" t="s">
        <v>3024</v>
      </c>
      <c r="D238" s="7" t="s">
        <v>3025</v>
      </c>
      <c r="E238" s="7" t="s">
        <v>3506</v>
      </c>
      <c r="F238" s="9">
        <v>20</v>
      </c>
      <c r="G238" s="9" t="s">
        <v>2674</v>
      </c>
      <c r="H238" s="9" t="s">
        <v>2670</v>
      </c>
    </row>
    <row r="239" spans="1:8" ht="33" x14ac:dyDescent="0.25">
      <c r="A239" s="9">
        <v>108</v>
      </c>
      <c r="B239" s="9">
        <v>7</v>
      </c>
      <c r="C239" s="9" t="s">
        <v>3024</v>
      </c>
      <c r="D239" s="7" t="s">
        <v>3025</v>
      </c>
      <c r="E239" s="7" t="s">
        <v>3507</v>
      </c>
      <c r="F239" s="9">
        <v>20</v>
      </c>
      <c r="G239" s="9" t="s">
        <v>2674</v>
      </c>
      <c r="H239" s="9" t="s">
        <v>2670</v>
      </c>
    </row>
    <row r="240" spans="1:8" x14ac:dyDescent="0.25">
      <c r="A240" s="9">
        <v>108</v>
      </c>
      <c r="B240" s="9">
        <v>7</v>
      </c>
      <c r="C240" s="9" t="s">
        <v>3024</v>
      </c>
      <c r="D240" s="7" t="s">
        <v>3025</v>
      </c>
      <c r="E240" s="7" t="s">
        <v>3508</v>
      </c>
      <c r="F240" s="9">
        <v>200</v>
      </c>
      <c r="G240" s="9" t="s">
        <v>2674</v>
      </c>
      <c r="H240" s="9" t="s">
        <v>2670</v>
      </c>
    </row>
    <row r="241" spans="1:8" x14ac:dyDescent="0.25">
      <c r="A241" s="9">
        <v>108</v>
      </c>
      <c r="B241" s="9">
        <v>7</v>
      </c>
      <c r="C241" s="9" t="s">
        <v>3024</v>
      </c>
      <c r="D241" s="7" t="s">
        <v>3025</v>
      </c>
      <c r="E241" s="7" t="s">
        <v>3509</v>
      </c>
      <c r="F241" s="9">
        <v>20</v>
      </c>
      <c r="G241" s="9" t="s">
        <v>2674</v>
      </c>
      <c r="H241" s="9" t="s">
        <v>2670</v>
      </c>
    </row>
    <row r="242" spans="1:8" ht="33" x14ac:dyDescent="0.25">
      <c r="A242" s="9">
        <v>108</v>
      </c>
      <c r="B242" s="9">
        <v>7</v>
      </c>
      <c r="C242" s="9" t="s">
        <v>3024</v>
      </c>
      <c r="D242" s="7" t="s">
        <v>3025</v>
      </c>
      <c r="E242" s="7" t="s">
        <v>3512</v>
      </c>
      <c r="F242" s="9">
        <v>236.64</v>
      </c>
      <c r="G242" s="9" t="s">
        <v>2674</v>
      </c>
      <c r="H242" s="9" t="s">
        <v>2670</v>
      </c>
    </row>
    <row r="243" spans="1:8" x14ac:dyDescent="0.25">
      <c r="A243" s="9">
        <v>108</v>
      </c>
      <c r="B243" s="9">
        <v>7</v>
      </c>
      <c r="C243" s="9" t="s">
        <v>3024</v>
      </c>
      <c r="D243" s="7" t="s">
        <v>3025</v>
      </c>
      <c r="E243" s="7" t="s">
        <v>3513</v>
      </c>
      <c r="F243" s="9">
        <v>100</v>
      </c>
      <c r="G243" s="9" t="s">
        <v>2674</v>
      </c>
      <c r="H243" s="9" t="s">
        <v>2670</v>
      </c>
    </row>
    <row r="244" spans="1:8" x14ac:dyDescent="0.25">
      <c r="A244" s="9">
        <v>108</v>
      </c>
      <c r="B244" s="9">
        <v>7</v>
      </c>
      <c r="C244" s="9" t="s">
        <v>3024</v>
      </c>
      <c r="D244" s="7" t="s">
        <v>3025</v>
      </c>
      <c r="E244" s="7" t="s">
        <v>3517</v>
      </c>
      <c r="F244" s="9">
        <v>100</v>
      </c>
      <c r="G244" s="9" t="s">
        <v>2674</v>
      </c>
      <c r="H244" s="9" t="s">
        <v>2670</v>
      </c>
    </row>
    <row r="245" spans="1:8" x14ac:dyDescent="0.25">
      <c r="A245" s="9">
        <v>108</v>
      </c>
      <c r="B245" s="9">
        <v>7</v>
      </c>
      <c r="C245" s="9" t="s">
        <v>3024</v>
      </c>
      <c r="D245" s="7" t="s">
        <v>3025</v>
      </c>
      <c r="E245" s="7" t="s">
        <v>3516</v>
      </c>
      <c r="F245" s="9">
        <v>50</v>
      </c>
      <c r="G245" s="9" t="s">
        <v>2674</v>
      </c>
      <c r="H245" s="9" t="s">
        <v>2670</v>
      </c>
    </row>
    <row r="246" spans="1:8" x14ac:dyDescent="0.25">
      <c r="A246" s="9">
        <v>108</v>
      </c>
      <c r="B246" s="9">
        <v>7</v>
      </c>
      <c r="C246" s="9" t="s">
        <v>3024</v>
      </c>
      <c r="D246" s="7" t="s">
        <v>3028</v>
      </c>
      <c r="E246" s="7" t="s">
        <v>3500</v>
      </c>
      <c r="F246" s="9">
        <v>90</v>
      </c>
      <c r="G246" s="9" t="s">
        <v>2674</v>
      </c>
      <c r="H246" s="9" t="s">
        <v>2670</v>
      </c>
    </row>
    <row r="247" spans="1:8" x14ac:dyDescent="0.25">
      <c r="A247" s="9">
        <v>108</v>
      </c>
      <c r="B247" s="9">
        <v>7</v>
      </c>
      <c r="C247" s="9" t="s">
        <v>3024</v>
      </c>
      <c r="D247" s="7" t="s">
        <v>3032</v>
      </c>
      <c r="E247" s="7" t="s">
        <v>3511</v>
      </c>
      <c r="F247" s="9">
        <v>23.5</v>
      </c>
      <c r="G247" s="9" t="s">
        <v>2674</v>
      </c>
      <c r="H247" s="9" t="s">
        <v>2670</v>
      </c>
    </row>
    <row r="248" spans="1:8" x14ac:dyDescent="0.25">
      <c r="A248" s="9">
        <v>108</v>
      </c>
      <c r="B248" s="9">
        <v>7</v>
      </c>
      <c r="C248" s="9" t="s">
        <v>3024</v>
      </c>
      <c r="D248" s="7" t="s">
        <v>3030</v>
      </c>
      <c r="E248" s="7" t="s">
        <v>1967</v>
      </c>
      <c r="F248" s="9">
        <v>8.5</v>
      </c>
      <c r="G248" s="9" t="s">
        <v>2674</v>
      </c>
      <c r="H248" s="9" t="s">
        <v>2670</v>
      </c>
    </row>
    <row r="249" spans="1:8" x14ac:dyDescent="0.25">
      <c r="A249" s="9">
        <v>108</v>
      </c>
      <c r="B249" s="9">
        <v>7</v>
      </c>
      <c r="C249" s="9" t="s">
        <v>3024</v>
      </c>
      <c r="D249" s="7" t="s">
        <v>3026</v>
      </c>
      <c r="E249" s="7" t="s">
        <v>3493</v>
      </c>
      <c r="F249" s="9">
        <v>30</v>
      </c>
      <c r="G249" s="9" t="s">
        <v>2674</v>
      </c>
      <c r="H249" s="9" t="s">
        <v>2670</v>
      </c>
    </row>
    <row r="250" spans="1:8" x14ac:dyDescent="0.25">
      <c r="A250" s="9">
        <v>108</v>
      </c>
      <c r="B250" s="9">
        <v>7</v>
      </c>
      <c r="C250" s="9" t="s">
        <v>3024</v>
      </c>
      <c r="D250" s="7" t="s">
        <v>3026</v>
      </c>
      <c r="E250" s="7" t="s">
        <v>3495</v>
      </c>
      <c r="F250" s="9">
        <v>67.099999999999994</v>
      </c>
      <c r="G250" s="9" t="s">
        <v>2674</v>
      </c>
      <c r="H250" s="9" t="s">
        <v>2670</v>
      </c>
    </row>
    <row r="251" spans="1:8" x14ac:dyDescent="0.25">
      <c r="A251" s="9">
        <v>108</v>
      </c>
      <c r="B251" s="9">
        <v>7</v>
      </c>
      <c r="C251" s="9" t="s">
        <v>3024</v>
      </c>
      <c r="D251" s="7" t="s">
        <v>3026</v>
      </c>
      <c r="E251" s="7" t="s">
        <v>1917</v>
      </c>
      <c r="F251" s="9">
        <v>30</v>
      </c>
      <c r="G251" s="9" t="s">
        <v>2674</v>
      </c>
      <c r="H251" s="9" t="s">
        <v>2670</v>
      </c>
    </row>
    <row r="252" spans="1:8" ht="33" x14ac:dyDescent="0.25">
      <c r="A252" s="9">
        <v>108</v>
      </c>
      <c r="B252" s="9">
        <v>7</v>
      </c>
      <c r="C252" s="9" t="s">
        <v>3024</v>
      </c>
      <c r="D252" s="7" t="s">
        <v>3026</v>
      </c>
      <c r="E252" s="7" t="s">
        <v>3502</v>
      </c>
      <c r="F252" s="9">
        <v>30</v>
      </c>
      <c r="G252" s="9" t="s">
        <v>2674</v>
      </c>
      <c r="H252" s="9" t="s">
        <v>2670</v>
      </c>
    </row>
    <row r="253" spans="1:8" x14ac:dyDescent="0.25">
      <c r="A253" s="9">
        <v>108</v>
      </c>
      <c r="B253" s="9">
        <v>7</v>
      </c>
      <c r="C253" s="9" t="s">
        <v>3024</v>
      </c>
      <c r="D253" s="7" t="s">
        <v>3026</v>
      </c>
      <c r="E253" s="7" t="s">
        <v>3510</v>
      </c>
      <c r="F253" s="9">
        <v>30</v>
      </c>
      <c r="G253" s="9" t="s">
        <v>2674</v>
      </c>
      <c r="H253" s="9" t="s">
        <v>2670</v>
      </c>
    </row>
    <row r="254" spans="1:8" x14ac:dyDescent="0.25">
      <c r="A254" s="9">
        <v>108</v>
      </c>
      <c r="B254" s="9">
        <v>7</v>
      </c>
      <c r="C254" s="9" t="s">
        <v>3024</v>
      </c>
      <c r="D254" s="7" t="s">
        <v>3026</v>
      </c>
      <c r="E254" s="7" t="s">
        <v>1973</v>
      </c>
      <c r="F254" s="9">
        <v>80.501000000000005</v>
      </c>
      <c r="G254" s="9" t="s">
        <v>2674</v>
      </c>
      <c r="H254" s="9" t="s">
        <v>2670</v>
      </c>
    </row>
    <row r="255" spans="1:8" x14ac:dyDescent="0.25">
      <c r="A255" s="9">
        <v>108</v>
      </c>
      <c r="B255" s="9">
        <v>7</v>
      </c>
      <c r="C255" s="9" t="s">
        <v>3024</v>
      </c>
      <c r="D255" s="7" t="s">
        <v>3035</v>
      </c>
      <c r="E255" s="7" t="s">
        <v>3518</v>
      </c>
      <c r="F255" s="9">
        <v>20</v>
      </c>
      <c r="G255" s="9" t="s">
        <v>2674</v>
      </c>
      <c r="H255" s="9" t="s">
        <v>2670</v>
      </c>
    </row>
    <row r="256" spans="1:8" x14ac:dyDescent="0.25">
      <c r="A256" s="9">
        <v>108</v>
      </c>
      <c r="B256" s="9">
        <v>7</v>
      </c>
      <c r="C256" s="9" t="s">
        <v>3024</v>
      </c>
      <c r="D256" s="7" t="s">
        <v>3391</v>
      </c>
      <c r="E256" s="7" t="s">
        <v>3496</v>
      </c>
      <c r="F256" s="9">
        <v>30</v>
      </c>
      <c r="G256" s="9" t="s">
        <v>2674</v>
      </c>
      <c r="H256" s="9" t="s">
        <v>2670</v>
      </c>
    </row>
    <row r="257" spans="1:8" ht="33" x14ac:dyDescent="0.25">
      <c r="A257" s="9">
        <v>108</v>
      </c>
      <c r="B257" s="9">
        <v>7</v>
      </c>
      <c r="C257" s="9" t="s">
        <v>3024</v>
      </c>
      <c r="D257" s="7" t="s">
        <v>3027</v>
      </c>
      <c r="E257" s="7" t="s">
        <v>3494</v>
      </c>
      <c r="F257" s="9">
        <v>29.753</v>
      </c>
      <c r="G257" s="9" t="s">
        <v>2674</v>
      </c>
      <c r="H257" s="9" t="s">
        <v>2670</v>
      </c>
    </row>
    <row r="258" spans="1:8" ht="33" x14ac:dyDescent="0.25">
      <c r="A258" s="9">
        <v>108</v>
      </c>
      <c r="B258" s="9">
        <v>7</v>
      </c>
      <c r="C258" s="9" t="s">
        <v>3024</v>
      </c>
      <c r="D258" s="7" t="s">
        <v>3029</v>
      </c>
      <c r="E258" s="7" t="s">
        <v>3501</v>
      </c>
      <c r="F258" s="9">
        <v>20</v>
      </c>
      <c r="G258" s="9" t="s">
        <v>2674</v>
      </c>
      <c r="H258" s="9" t="s">
        <v>2670</v>
      </c>
    </row>
    <row r="259" spans="1:8" x14ac:dyDescent="0.25">
      <c r="A259" s="9">
        <v>108</v>
      </c>
      <c r="B259" s="9">
        <v>7</v>
      </c>
      <c r="C259" s="9" t="s">
        <v>3024</v>
      </c>
      <c r="D259" s="7" t="s">
        <v>3544</v>
      </c>
      <c r="E259" s="7" t="s">
        <v>3663</v>
      </c>
      <c r="F259" s="9">
        <v>26.294</v>
      </c>
      <c r="G259" s="9" t="s">
        <v>2674</v>
      </c>
      <c r="H259" s="9" t="s">
        <v>2670</v>
      </c>
    </row>
    <row r="260" spans="1:8" x14ac:dyDescent="0.25">
      <c r="A260" s="9">
        <v>108</v>
      </c>
      <c r="B260" s="9">
        <v>7</v>
      </c>
      <c r="C260" s="9" t="s">
        <v>3090</v>
      </c>
      <c r="D260" s="7" t="s">
        <v>3606</v>
      </c>
      <c r="E260" s="7" t="s">
        <v>3590</v>
      </c>
      <c r="F260" s="9">
        <v>5</v>
      </c>
      <c r="G260" s="9" t="s">
        <v>2674</v>
      </c>
      <c r="H260" s="9" t="s">
        <v>2671</v>
      </c>
    </row>
    <row r="261" spans="1:8" x14ac:dyDescent="0.25">
      <c r="A261" s="9">
        <v>108</v>
      </c>
      <c r="B261" s="9">
        <v>7</v>
      </c>
      <c r="C261" s="9" t="s">
        <v>3090</v>
      </c>
      <c r="D261" s="7" t="s">
        <v>3655</v>
      </c>
      <c r="E261" s="7" t="s">
        <v>3590</v>
      </c>
      <c r="F261" s="9">
        <v>5</v>
      </c>
      <c r="G261" s="9" t="s">
        <v>2674</v>
      </c>
      <c r="H261" s="9" t="s">
        <v>2671</v>
      </c>
    </row>
    <row r="262" spans="1:8" x14ac:dyDescent="0.25">
      <c r="A262" s="9">
        <v>108</v>
      </c>
      <c r="B262" s="9">
        <v>7</v>
      </c>
      <c r="C262" s="9" t="s">
        <v>3090</v>
      </c>
      <c r="D262" s="7" t="s">
        <v>3607</v>
      </c>
      <c r="E262" s="7" t="s">
        <v>3590</v>
      </c>
      <c r="F262" s="9">
        <v>5</v>
      </c>
      <c r="G262" s="9" t="s">
        <v>2674</v>
      </c>
      <c r="H262" s="9" t="s">
        <v>2671</v>
      </c>
    </row>
    <row r="263" spans="1:8" x14ac:dyDescent="0.25">
      <c r="A263" s="9">
        <v>108</v>
      </c>
      <c r="B263" s="9">
        <v>7</v>
      </c>
      <c r="C263" s="9" t="s">
        <v>3090</v>
      </c>
      <c r="D263" s="7" t="s">
        <v>3654</v>
      </c>
      <c r="E263" s="7" t="s">
        <v>3590</v>
      </c>
      <c r="F263" s="9">
        <v>5</v>
      </c>
      <c r="G263" s="9" t="s">
        <v>2674</v>
      </c>
      <c r="H263" s="9" t="s">
        <v>2671</v>
      </c>
    </row>
    <row r="264" spans="1:8" x14ac:dyDescent="0.25">
      <c r="A264" s="9">
        <v>108</v>
      </c>
      <c r="B264" s="9">
        <v>7</v>
      </c>
      <c r="C264" s="9" t="s">
        <v>3090</v>
      </c>
      <c r="D264" s="7" t="s">
        <v>3656</v>
      </c>
      <c r="E264" s="7" t="s">
        <v>3590</v>
      </c>
      <c r="F264" s="9">
        <v>5</v>
      </c>
      <c r="G264" s="9" t="s">
        <v>2674</v>
      </c>
      <c r="H264" s="9" t="s">
        <v>2671</v>
      </c>
    </row>
    <row r="265" spans="1:8" x14ac:dyDescent="0.25">
      <c r="A265" s="9">
        <v>108</v>
      </c>
      <c r="B265" s="9">
        <v>7</v>
      </c>
      <c r="C265" s="9" t="s">
        <v>3090</v>
      </c>
      <c r="D265" s="7" t="s">
        <v>3098</v>
      </c>
      <c r="E265" s="7" t="s">
        <v>2429</v>
      </c>
      <c r="F265" s="9">
        <v>90</v>
      </c>
      <c r="G265" s="9" t="s">
        <v>2674</v>
      </c>
      <c r="H265" s="9" t="s">
        <v>2671</v>
      </c>
    </row>
    <row r="266" spans="1:8" x14ac:dyDescent="0.25">
      <c r="A266" s="9">
        <v>108</v>
      </c>
      <c r="B266" s="9">
        <v>7</v>
      </c>
      <c r="C266" s="9" t="s">
        <v>3090</v>
      </c>
      <c r="D266" s="7" t="s">
        <v>3092</v>
      </c>
      <c r="E266" s="7" t="s">
        <v>2400</v>
      </c>
      <c r="F266" s="9">
        <v>290</v>
      </c>
      <c r="G266" s="9" t="s">
        <v>2674</v>
      </c>
      <c r="H266" s="9" t="s">
        <v>2671</v>
      </c>
    </row>
    <row r="267" spans="1:8" x14ac:dyDescent="0.25">
      <c r="A267" s="9">
        <v>108</v>
      </c>
      <c r="B267" s="9">
        <v>7</v>
      </c>
      <c r="C267" s="9" t="s">
        <v>3090</v>
      </c>
      <c r="D267" s="7" t="s">
        <v>3093</v>
      </c>
      <c r="E267" s="7" t="s">
        <v>2404</v>
      </c>
      <c r="F267" s="9">
        <v>180</v>
      </c>
      <c r="G267" s="9" t="s">
        <v>2674</v>
      </c>
      <c r="H267" s="9" t="s">
        <v>2671</v>
      </c>
    </row>
    <row r="268" spans="1:8" x14ac:dyDescent="0.25">
      <c r="A268" s="9">
        <v>108</v>
      </c>
      <c r="B268" s="9">
        <v>7</v>
      </c>
      <c r="C268" s="9" t="s">
        <v>3090</v>
      </c>
      <c r="D268" s="7" t="s">
        <v>3091</v>
      </c>
      <c r="E268" s="7" t="s">
        <v>2395</v>
      </c>
      <c r="F268" s="9">
        <v>30</v>
      </c>
      <c r="G268" s="9" t="s">
        <v>2674</v>
      </c>
      <c r="H268" s="9" t="s">
        <v>2671</v>
      </c>
    </row>
    <row r="269" spans="1:8" x14ac:dyDescent="0.25">
      <c r="A269" s="9">
        <v>108</v>
      </c>
      <c r="B269" s="9">
        <v>7</v>
      </c>
      <c r="C269" s="9" t="s">
        <v>3090</v>
      </c>
      <c r="D269" s="7" t="s">
        <v>3095</v>
      </c>
      <c r="E269" s="7" t="s">
        <v>2412</v>
      </c>
      <c r="F269" s="9">
        <v>200</v>
      </c>
      <c r="G269" s="9" t="s">
        <v>2674</v>
      </c>
      <c r="H269" s="9" t="s">
        <v>2671</v>
      </c>
    </row>
    <row r="270" spans="1:8" x14ac:dyDescent="0.25">
      <c r="A270" s="9">
        <v>108</v>
      </c>
      <c r="B270" s="9">
        <v>7</v>
      </c>
      <c r="C270" s="9" t="s">
        <v>3090</v>
      </c>
      <c r="D270" s="7" t="s">
        <v>3097</v>
      </c>
      <c r="E270" s="7" t="s">
        <v>2425</v>
      </c>
      <c r="F270" s="9">
        <v>30</v>
      </c>
      <c r="G270" s="9" t="s">
        <v>2674</v>
      </c>
      <c r="H270" s="9" t="s">
        <v>2671</v>
      </c>
    </row>
    <row r="271" spans="1:8" x14ac:dyDescent="0.25">
      <c r="A271" s="9">
        <v>108</v>
      </c>
      <c r="B271" s="9">
        <v>7</v>
      </c>
      <c r="C271" s="9" t="s">
        <v>3090</v>
      </c>
      <c r="D271" s="7" t="s">
        <v>3094</v>
      </c>
      <c r="E271" s="7" t="s">
        <v>2408</v>
      </c>
      <c r="F271" s="9">
        <v>30</v>
      </c>
      <c r="G271" s="9" t="s">
        <v>2674</v>
      </c>
      <c r="H271" s="9" t="s">
        <v>2671</v>
      </c>
    </row>
    <row r="272" spans="1:8" x14ac:dyDescent="0.25">
      <c r="A272" s="9">
        <v>108</v>
      </c>
      <c r="B272" s="9">
        <v>7</v>
      </c>
      <c r="C272" s="9" t="s">
        <v>3090</v>
      </c>
      <c r="D272" s="7" t="s">
        <v>3096</v>
      </c>
      <c r="E272" s="7" t="s">
        <v>2417</v>
      </c>
      <c r="F272" s="9">
        <v>30</v>
      </c>
      <c r="G272" s="9" t="s">
        <v>2674</v>
      </c>
      <c r="H272" s="9" t="s">
        <v>2671</v>
      </c>
    </row>
    <row r="273" spans="1:8" x14ac:dyDescent="0.25">
      <c r="A273" s="9">
        <v>108</v>
      </c>
      <c r="B273" s="9">
        <v>7</v>
      </c>
      <c r="C273" s="9" t="s">
        <v>2965</v>
      </c>
      <c r="D273" s="7" t="s">
        <v>2973</v>
      </c>
      <c r="E273" s="7" t="s">
        <v>3590</v>
      </c>
      <c r="F273" s="9">
        <v>40</v>
      </c>
      <c r="G273" s="9" t="s">
        <v>2674</v>
      </c>
      <c r="H273" s="9" t="s">
        <v>3128</v>
      </c>
    </row>
    <row r="274" spans="1:8" customFormat="1" ht="16.149999999999999" hidden="1" x14ac:dyDescent="0.3">
      <c r="A274" s="3">
        <v>108</v>
      </c>
      <c r="B274" s="3">
        <v>7</v>
      </c>
      <c r="C274" s="3" t="s">
        <v>2965</v>
      </c>
      <c r="D274" s="4" t="s">
        <v>2967</v>
      </c>
      <c r="E274" s="4" t="s">
        <v>3590</v>
      </c>
      <c r="F274" s="3">
        <v>50</v>
      </c>
      <c r="G274" s="3" t="s">
        <v>2674</v>
      </c>
      <c r="H274" s="3" t="s">
        <v>3125</v>
      </c>
    </row>
    <row r="275" spans="1:8" customFormat="1" ht="16.149999999999999" hidden="1" x14ac:dyDescent="0.3">
      <c r="A275" s="3">
        <v>108</v>
      </c>
      <c r="B275" s="3">
        <v>7</v>
      </c>
      <c r="C275" s="3" t="s">
        <v>2965</v>
      </c>
      <c r="D275" s="4" t="s">
        <v>1418</v>
      </c>
      <c r="E275" s="4" t="s">
        <v>1419</v>
      </c>
      <c r="F275" s="3">
        <v>150</v>
      </c>
      <c r="G275" s="3" t="s">
        <v>2674</v>
      </c>
      <c r="H275" s="3" t="s">
        <v>3125</v>
      </c>
    </row>
    <row r="276" spans="1:8" customFormat="1" ht="16.149999999999999" hidden="1" x14ac:dyDescent="0.3">
      <c r="A276" s="3">
        <v>108</v>
      </c>
      <c r="B276" s="3">
        <v>7</v>
      </c>
      <c r="C276" s="3" t="s">
        <v>2965</v>
      </c>
      <c r="D276" s="4" t="s">
        <v>1493</v>
      </c>
      <c r="E276" s="4" t="s">
        <v>3473</v>
      </c>
      <c r="F276" s="3">
        <v>70</v>
      </c>
      <c r="G276" s="3" t="s">
        <v>2674</v>
      </c>
      <c r="H276" s="3" t="s">
        <v>3125</v>
      </c>
    </row>
    <row r="277" spans="1:8" customFormat="1" ht="16.149999999999999" hidden="1" x14ac:dyDescent="0.3">
      <c r="A277" s="3">
        <v>108</v>
      </c>
      <c r="B277" s="3">
        <v>7</v>
      </c>
      <c r="C277" s="3" t="s">
        <v>2965</v>
      </c>
      <c r="D277" s="4" t="s">
        <v>1575</v>
      </c>
      <c r="E277" s="4" t="s">
        <v>1576</v>
      </c>
      <c r="F277" s="3">
        <v>25.204000000000001</v>
      </c>
      <c r="G277" s="3" t="s">
        <v>2674</v>
      </c>
      <c r="H277" s="3" t="s">
        <v>3125</v>
      </c>
    </row>
    <row r="278" spans="1:8" customFormat="1" ht="16.149999999999999" hidden="1" x14ac:dyDescent="0.3">
      <c r="A278" s="3">
        <v>108</v>
      </c>
      <c r="B278" s="3">
        <v>7</v>
      </c>
      <c r="C278" s="3" t="s">
        <v>2965</v>
      </c>
      <c r="D278" s="4" t="s">
        <v>1585</v>
      </c>
      <c r="E278" s="4" t="s">
        <v>3477</v>
      </c>
      <c r="F278" s="3">
        <v>50</v>
      </c>
      <c r="G278" s="3" t="s">
        <v>2674</v>
      </c>
      <c r="H278" s="3" t="s">
        <v>3125</v>
      </c>
    </row>
    <row r="279" spans="1:8" customFormat="1" ht="16.149999999999999" hidden="1" x14ac:dyDescent="0.3">
      <c r="A279" s="3">
        <v>108</v>
      </c>
      <c r="B279" s="3">
        <v>7</v>
      </c>
      <c r="C279" s="3" t="s">
        <v>2965</v>
      </c>
      <c r="D279" s="4" t="s">
        <v>2969</v>
      </c>
      <c r="E279" s="4" t="s">
        <v>1531</v>
      </c>
      <c r="F279" s="3">
        <v>40</v>
      </c>
      <c r="G279" s="3" t="s">
        <v>2674</v>
      </c>
      <c r="H279" s="3" t="s">
        <v>3125</v>
      </c>
    </row>
    <row r="280" spans="1:8" customFormat="1" ht="16.149999999999999" hidden="1" x14ac:dyDescent="0.3">
      <c r="A280" s="3">
        <v>108</v>
      </c>
      <c r="B280" s="3">
        <v>7</v>
      </c>
      <c r="C280" s="3" t="s">
        <v>2965</v>
      </c>
      <c r="D280" s="4" t="s">
        <v>2970</v>
      </c>
      <c r="E280" s="4" t="s">
        <v>3590</v>
      </c>
      <c r="F280" s="3">
        <v>40</v>
      </c>
      <c r="G280" s="3" t="s">
        <v>2674</v>
      </c>
      <c r="H280" s="3" t="s">
        <v>3125</v>
      </c>
    </row>
    <row r="281" spans="1:8" customFormat="1" ht="16.149999999999999" hidden="1" x14ac:dyDescent="0.3">
      <c r="A281" s="3">
        <v>108</v>
      </c>
      <c r="B281" s="3">
        <v>7</v>
      </c>
      <c r="C281" s="3" t="s">
        <v>2965</v>
      </c>
      <c r="D281" s="4" t="s">
        <v>2968</v>
      </c>
      <c r="E281" s="4" t="s">
        <v>3590</v>
      </c>
      <c r="F281" s="3">
        <v>40</v>
      </c>
      <c r="G281" s="3" t="s">
        <v>2674</v>
      </c>
      <c r="H281" s="3" t="s">
        <v>3125</v>
      </c>
    </row>
    <row r="282" spans="1:8" customFormat="1" ht="16.149999999999999" hidden="1" x14ac:dyDescent="0.3">
      <c r="A282" s="3">
        <v>108</v>
      </c>
      <c r="B282" s="3">
        <v>7</v>
      </c>
      <c r="C282" s="3" t="s">
        <v>2965</v>
      </c>
      <c r="D282" s="4" t="s">
        <v>2972</v>
      </c>
      <c r="E282" s="4" t="s">
        <v>3590</v>
      </c>
      <c r="F282" s="3">
        <v>40</v>
      </c>
      <c r="G282" s="3" t="s">
        <v>2674</v>
      </c>
      <c r="H282" s="3" t="s">
        <v>3125</v>
      </c>
    </row>
    <row r="283" spans="1:8" customFormat="1" ht="16.149999999999999" hidden="1" x14ac:dyDescent="0.3">
      <c r="A283" s="3">
        <v>108</v>
      </c>
      <c r="B283" s="3">
        <v>7</v>
      </c>
      <c r="C283" s="3" t="s">
        <v>2965</v>
      </c>
      <c r="D283" s="4" t="s">
        <v>1568</v>
      </c>
      <c r="E283" s="4" t="s">
        <v>3475</v>
      </c>
      <c r="F283" s="3">
        <v>40</v>
      </c>
      <c r="G283" s="3" t="s">
        <v>2674</v>
      </c>
      <c r="H283" s="3" t="s">
        <v>3128</v>
      </c>
    </row>
    <row r="284" spans="1:8" customFormat="1" ht="16.149999999999999" hidden="1" x14ac:dyDescent="0.3">
      <c r="A284" s="3">
        <v>108</v>
      </c>
      <c r="B284" s="3">
        <v>7</v>
      </c>
      <c r="C284" s="3" t="s">
        <v>2965</v>
      </c>
      <c r="D284" s="4" t="s">
        <v>1459</v>
      </c>
      <c r="E284" s="4" t="s">
        <v>1461</v>
      </c>
      <c r="F284" s="3">
        <v>50</v>
      </c>
      <c r="G284" s="3" t="s">
        <v>2674</v>
      </c>
      <c r="H284" s="3" t="s">
        <v>3128</v>
      </c>
    </row>
    <row r="285" spans="1:8" x14ac:dyDescent="0.25">
      <c r="A285" s="9">
        <v>108</v>
      </c>
      <c r="B285" s="9">
        <v>7</v>
      </c>
      <c r="C285" s="9" t="s">
        <v>2965</v>
      </c>
      <c r="D285" s="7" t="s">
        <v>3354</v>
      </c>
      <c r="E285" s="7" t="s">
        <v>1453</v>
      </c>
      <c r="F285" s="9">
        <v>73.611999999999995</v>
      </c>
      <c r="G285" s="9" t="s">
        <v>2674</v>
      </c>
      <c r="H285" s="9" t="s">
        <v>3128</v>
      </c>
    </row>
    <row r="286" spans="1:8" x14ac:dyDescent="0.25">
      <c r="A286" s="9">
        <v>108</v>
      </c>
      <c r="B286" s="9">
        <v>7</v>
      </c>
      <c r="C286" s="9" t="s">
        <v>2965</v>
      </c>
      <c r="D286" s="7" t="s">
        <v>1439</v>
      </c>
      <c r="E286" s="7" t="s">
        <v>3469</v>
      </c>
      <c r="F286" s="9">
        <v>50</v>
      </c>
      <c r="G286" s="9" t="s">
        <v>2674</v>
      </c>
      <c r="H286" s="9" t="s">
        <v>3128</v>
      </c>
    </row>
    <row r="287" spans="1:8" x14ac:dyDescent="0.25">
      <c r="A287" s="9">
        <v>108</v>
      </c>
      <c r="B287" s="9">
        <v>7</v>
      </c>
      <c r="C287" s="9" t="s">
        <v>2965</v>
      </c>
      <c r="D287" s="7" t="s">
        <v>1483</v>
      </c>
      <c r="E287" s="7" t="s">
        <v>3471</v>
      </c>
      <c r="F287" s="9">
        <v>40</v>
      </c>
      <c r="G287" s="9" t="s">
        <v>2674</v>
      </c>
      <c r="H287" s="9" t="s">
        <v>3128</v>
      </c>
    </row>
    <row r="288" spans="1:8" customFormat="1" ht="16.149999999999999" hidden="1" x14ac:dyDescent="0.3">
      <c r="A288" s="3">
        <v>108</v>
      </c>
      <c r="B288" s="3">
        <v>7</v>
      </c>
      <c r="C288" s="3" t="s">
        <v>2965</v>
      </c>
      <c r="D288" s="4" t="s">
        <v>1488</v>
      </c>
      <c r="E288" s="4" t="s">
        <v>3472</v>
      </c>
      <c r="F288" s="3">
        <v>50</v>
      </c>
      <c r="G288" s="3" t="s">
        <v>2674</v>
      </c>
      <c r="H288" s="3" t="s">
        <v>3128</v>
      </c>
    </row>
    <row r="289" spans="1:8" customFormat="1" ht="16.149999999999999" hidden="1" x14ac:dyDescent="0.3">
      <c r="A289" s="3">
        <v>108</v>
      </c>
      <c r="B289" s="3">
        <v>7</v>
      </c>
      <c r="C289" s="3" t="s">
        <v>2965</v>
      </c>
      <c r="D289" s="4" t="s">
        <v>1521</v>
      </c>
      <c r="E289" s="4" t="s">
        <v>1522</v>
      </c>
      <c r="F289" s="3">
        <v>10</v>
      </c>
      <c r="G289" s="3" t="s">
        <v>2674</v>
      </c>
      <c r="H289" s="3" t="s">
        <v>3128</v>
      </c>
    </row>
    <row r="290" spans="1:8" customFormat="1" ht="16.149999999999999" hidden="1" x14ac:dyDescent="0.3">
      <c r="A290" s="3">
        <v>108</v>
      </c>
      <c r="B290" s="3">
        <v>7</v>
      </c>
      <c r="C290" s="3" t="s">
        <v>2965</v>
      </c>
      <c r="D290" s="4" t="s">
        <v>1429</v>
      </c>
      <c r="E290" s="4" t="s">
        <v>3467</v>
      </c>
      <c r="F290" s="3">
        <v>20</v>
      </c>
      <c r="G290" s="3" t="s">
        <v>2674</v>
      </c>
      <c r="H290" s="3" t="s">
        <v>3128</v>
      </c>
    </row>
    <row r="291" spans="1:8" customFormat="1" ht="16.149999999999999" hidden="1" x14ac:dyDescent="0.3">
      <c r="A291" s="3">
        <v>108</v>
      </c>
      <c r="B291" s="3">
        <v>7</v>
      </c>
      <c r="C291" s="3" t="s">
        <v>2965</v>
      </c>
      <c r="D291" s="4" t="s">
        <v>1541</v>
      </c>
      <c r="E291" s="4" t="s">
        <v>1542</v>
      </c>
      <c r="F291" s="3">
        <v>20</v>
      </c>
      <c r="G291" s="3" t="s">
        <v>2674</v>
      </c>
      <c r="H291" s="3" t="s">
        <v>3128</v>
      </c>
    </row>
    <row r="292" spans="1:8" x14ac:dyDescent="0.25">
      <c r="A292" s="9">
        <v>108</v>
      </c>
      <c r="B292" s="9">
        <v>7</v>
      </c>
      <c r="C292" s="9" t="s">
        <v>2965</v>
      </c>
      <c r="D292" s="7" t="s">
        <v>2966</v>
      </c>
      <c r="E292" s="7" t="s">
        <v>1498</v>
      </c>
      <c r="F292" s="9">
        <v>50</v>
      </c>
      <c r="G292" s="9" t="s">
        <v>2674</v>
      </c>
      <c r="H292" s="9" t="s">
        <v>3128</v>
      </c>
    </row>
    <row r="293" spans="1:8" customFormat="1" ht="16.149999999999999" hidden="1" x14ac:dyDescent="0.3">
      <c r="A293" s="3">
        <v>108</v>
      </c>
      <c r="B293" s="3">
        <v>7</v>
      </c>
      <c r="C293" s="3" t="s">
        <v>2965</v>
      </c>
      <c r="D293" s="4" t="s">
        <v>1434</v>
      </c>
      <c r="E293" s="4" t="s">
        <v>3468</v>
      </c>
      <c r="F293" s="3">
        <v>30</v>
      </c>
      <c r="G293" s="3" t="s">
        <v>2674</v>
      </c>
      <c r="H293" s="3" t="s">
        <v>3128</v>
      </c>
    </row>
    <row r="294" spans="1:8" customFormat="1" ht="16.149999999999999" hidden="1" x14ac:dyDescent="0.3">
      <c r="A294" s="3">
        <v>108</v>
      </c>
      <c r="B294" s="3">
        <v>7</v>
      </c>
      <c r="C294" s="3" t="s">
        <v>2965</v>
      </c>
      <c r="D294" s="4" t="s">
        <v>1434</v>
      </c>
      <c r="E294" s="4" t="s">
        <v>3470</v>
      </c>
      <c r="F294" s="3">
        <v>20</v>
      </c>
      <c r="G294" s="3" t="s">
        <v>2674</v>
      </c>
      <c r="H294" s="3" t="s">
        <v>3128</v>
      </c>
    </row>
    <row r="295" spans="1:8" x14ac:dyDescent="0.25">
      <c r="A295" s="9">
        <v>108</v>
      </c>
      <c r="B295" s="9">
        <v>7</v>
      </c>
      <c r="C295" s="9" t="s">
        <v>2965</v>
      </c>
      <c r="D295" s="7" t="s">
        <v>1411</v>
      </c>
      <c r="E295" s="7" t="s">
        <v>1412</v>
      </c>
      <c r="F295" s="9">
        <v>10</v>
      </c>
      <c r="G295" s="9" t="s">
        <v>2674</v>
      </c>
      <c r="H295" s="9" t="s">
        <v>3128</v>
      </c>
    </row>
    <row r="296" spans="1:8" x14ac:dyDescent="0.25">
      <c r="A296" s="9">
        <v>108</v>
      </c>
      <c r="B296" s="9">
        <v>7</v>
      </c>
      <c r="C296" s="9" t="s">
        <v>2965</v>
      </c>
      <c r="D296" s="7" t="s">
        <v>3355</v>
      </c>
      <c r="E296" s="7" t="s">
        <v>1449</v>
      </c>
      <c r="F296" s="9">
        <v>50</v>
      </c>
      <c r="G296" s="9" t="s">
        <v>2674</v>
      </c>
      <c r="H296" s="9" t="s">
        <v>3128</v>
      </c>
    </row>
    <row r="297" spans="1:8" x14ac:dyDescent="0.25">
      <c r="A297" s="9">
        <v>108</v>
      </c>
      <c r="B297" s="9">
        <v>7</v>
      </c>
      <c r="C297" s="9" t="s">
        <v>2965</v>
      </c>
      <c r="D297" s="8" t="s">
        <v>3355</v>
      </c>
      <c r="E297" s="7" t="s">
        <v>1547</v>
      </c>
      <c r="F297" s="9">
        <v>50</v>
      </c>
      <c r="G297" s="9" t="s">
        <v>2674</v>
      </c>
      <c r="H297" s="9" t="s">
        <v>3128</v>
      </c>
    </row>
    <row r="298" spans="1:8" x14ac:dyDescent="0.25">
      <c r="A298" s="9">
        <v>108</v>
      </c>
      <c r="B298" s="9">
        <v>7</v>
      </c>
      <c r="C298" s="9" t="s">
        <v>2965</v>
      </c>
      <c r="D298" s="7" t="s">
        <v>3355</v>
      </c>
      <c r="E298" s="7" t="s">
        <v>3485</v>
      </c>
      <c r="F298" s="9">
        <v>40</v>
      </c>
      <c r="G298" s="9" t="s">
        <v>2674</v>
      </c>
      <c r="H298" s="9" t="s">
        <v>3128</v>
      </c>
    </row>
    <row r="299" spans="1:8" x14ac:dyDescent="0.25">
      <c r="A299" s="9">
        <v>108</v>
      </c>
      <c r="B299" s="9">
        <v>7</v>
      </c>
      <c r="C299" s="9" t="s">
        <v>2965</v>
      </c>
      <c r="D299" s="7" t="s">
        <v>3355</v>
      </c>
      <c r="E299" s="7" t="s">
        <v>3474</v>
      </c>
      <c r="F299" s="9">
        <v>20</v>
      </c>
      <c r="G299" s="9" t="s">
        <v>2674</v>
      </c>
      <c r="H299" s="9" t="s">
        <v>3128</v>
      </c>
    </row>
    <row r="300" spans="1:8" ht="33" x14ac:dyDescent="0.25">
      <c r="A300" s="9">
        <v>108</v>
      </c>
      <c r="B300" s="9">
        <v>7</v>
      </c>
      <c r="C300" s="9" t="s">
        <v>2965</v>
      </c>
      <c r="D300" s="7" t="s">
        <v>3355</v>
      </c>
      <c r="E300" s="7" t="s">
        <v>3476</v>
      </c>
      <c r="F300" s="9">
        <v>10</v>
      </c>
      <c r="G300" s="9" t="s">
        <v>2674</v>
      </c>
      <c r="H300" s="9" t="s">
        <v>3128</v>
      </c>
    </row>
    <row r="301" spans="1:8" x14ac:dyDescent="0.25">
      <c r="A301" s="9">
        <v>108</v>
      </c>
      <c r="B301" s="9">
        <v>7</v>
      </c>
      <c r="C301" s="9" t="s">
        <v>2965</v>
      </c>
      <c r="D301" s="7" t="s">
        <v>1476</v>
      </c>
      <c r="E301" s="7" t="s">
        <v>1477</v>
      </c>
      <c r="F301" s="9">
        <v>20</v>
      </c>
      <c r="G301" s="9" t="s">
        <v>2674</v>
      </c>
      <c r="H301" s="9" t="s">
        <v>3128</v>
      </c>
    </row>
    <row r="302" spans="1:8" customFormat="1" ht="16.149999999999999" hidden="1" x14ac:dyDescent="0.3">
      <c r="A302" s="3">
        <v>108</v>
      </c>
      <c r="B302" s="3">
        <v>7</v>
      </c>
      <c r="C302" s="3" t="s">
        <v>2965</v>
      </c>
      <c r="D302" s="4" t="s">
        <v>1471</v>
      </c>
      <c r="E302" s="4" t="s">
        <v>1472</v>
      </c>
      <c r="F302" s="3">
        <v>15</v>
      </c>
      <c r="G302" s="3" t="s">
        <v>2674</v>
      </c>
      <c r="H302" s="3" t="s">
        <v>3128</v>
      </c>
    </row>
    <row r="303" spans="1:8" customFormat="1" ht="16.149999999999999" hidden="1" x14ac:dyDescent="0.3">
      <c r="A303" s="3">
        <v>108</v>
      </c>
      <c r="B303" s="3">
        <v>7</v>
      </c>
      <c r="C303" s="3" t="s">
        <v>2965</v>
      </c>
      <c r="D303" s="4" t="s">
        <v>1512</v>
      </c>
      <c r="E303" s="4" t="s">
        <v>1513</v>
      </c>
      <c r="F303" s="3">
        <v>30</v>
      </c>
      <c r="G303" s="3" t="s">
        <v>2674</v>
      </c>
      <c r="H303" s="3" t="s">
        <v>3128</v>
      </c>
    </row>
    <row r="304" spans="1:8" customFormat="1" ht="16.149999999999999" hidden="1" x14ac:dyDescent="0.3">
      <c r="A304" s="3">
        <v>108</v>
      </c>
      <c r="B304" s="3">
        <v>7</v>
      </c>
      <c r="C304" s="3" t="s">
        <v>2965</v>
      </c>
      <c r="D304" s="4" t="s">
        <v>1423</v>
      </c>
      <c r="E304" s="4" t="s">
        <v>3466</v>
      </c>
      <c r="F304" s="3">
        <v>45</v>
      </c>
      <c r="G304" s="3" t="s">
        <v>2674</v>
      </c>
      <c r="H304" s="3" t="s">
        <v>3128</v>
      </c>
    </row>
    <row r="305" spans="1:8" customFormat="1" ht="16.149999999999999" hidden="1" x14ac:dyDescent="0.3">
      <c r="A305" s="3">
        <v>108</v>
      </c>
      <c r="B305" s="3">
        <v>7</v>
      </c>
      <c r="C305" s="3" t="s">
        <v>2965</v>
      </c>
      <c r="D305" s="4" t="s">
        <v>1536</v>
      </c>
      <c r="E305" s="4" t="s">
        <v>1537</v>
      </c>
      <c r="F305" s="3">
        <v>30</v>
      </c>
      <c r="G305" s="3" t="s">
        <v>2674</v>
      </c>
      <c r="H305" s="3" t="s">
        <v>3128</v>
      </c>
    </row>
    <row r="306" spans="1:8" x14ac:dyDescent="0.25">
      <c r="A306" s="9">
        <v>108</v>
      </c>
      <c r="B306" s="9">
        <v>7</v>
      </c>
      <c r="C306" s="9" t="s">
        <v>2965</v>
      </c>
      <c r="D306" s="7" t="s">
        <v>1444</v>
      </c>
      <c r="E306" s="7" t="s">
        <v>1445</v>
      </c>
      <c r="F306" s="9">
        <v>30</v>
      </c>
      <c r="G306" s="9" t="s">
        <v>2674</v>
      </c>
      <c r="H306" s="9" t="s">
        <v>3128</v>
      </c>
    </row>
    <row r="307" spans="1:8" x14ac:dyDescent="0.25">
      <c r="A307" s="9">
        <v>108</v>
      </c>
      <c r="B307" s="9">
        <v>7</v>
      </c>
      <c r="C307" s="9" t="s">
        <v>2965</v>
      </c>
      <c r="D307" s="7" t="s">
        <v>1526</v>
      </c>
      <c r="E307" s="7" t="s">
        <v>1527</v>
      </c>
      <c r="F307" s="9">
        <v>28.370999999999999</v>
      </c>
      <c r="G307" s="9" t="s">
        <v>2674</v>
      </c>
      <c r="H307" s="9" t="s">
        <v>3128</v>
      </c>
    </row>
    <row r="308" spans="1:8" customFormat="1" ht="16.149999999999999" hidden="1" x14ac:dyDescent="0.3">
      <c r="A308" s="3">
        <v>108</v>
      </c>
      <c r="B308" s="3">
        <v>7</v>
      </c>
      <c r="C308" s="3" t="s">
        <v>2965</v>
      </c>
      <c r="D308" s="4" t="s">
        <v>3370</v>
      </c>
      <c r="E308" s="4" t="s">
        <v>1517</v>
      </c>
      <c r="F308" s="3">
        <v>30</v>
      </c>
      <c r="G308" s="3" t="s">
        <v>2674</v>
      </c>
      <c r="H308" s="3" t="s">
        <v>3128</v>
      </c>
    </row>
    <row r="309" spans="1:8" customFormat="1" ht="16.149999999999999" hidden="1" x14ac:dyDescent="0.3">
      <c r="A309" s="3">
        <v>108</v>
      </c>
      <c r="B309" s="3">
        <v>7</v>
      </c>
      <c r="C309" s="3" t="s">
        <v>2965</v>
      </c>
      <c r="D309" s="4" t="s">
        <v>1466</v>
      </c>
      <c r="E309" s="4" t="s">
        <v>1467</v>
      </c>
      <c r="F309" s="3">
        <v>10</v>
      </c>
      <c r="G309" s="3" t="s">
        <v>2674</v>
      </c>
      <c r="H309" s="3" t="s">
        <v>3128</v>
      </c>
    </row>
    <row r="310" spans="1:8" x14ac:dyDescent="0.25">
      <c r="A310" s="9">
        <v>108</v>
      </c>
      <c r="B310" s="9">
        <v>7</v>
      </c>
      <c r="C310" s="9" t="s">
        <v>2965</v>
      </c>
      <c r="D310" s="7" t="s">
        <v>2971</v>
      </c>
      <c r="E310" s="7" t="s">
        <v>3590</v>
      </c>
      <c r="F310" s="9">
        <v>30</v>
      </c>
      <c r="G310" s="9" t="s">
        <v>2674</v>
      </c>
      <c r="H310" s="9" t="s">
        <v>3128</v>
      </c>
    </row>
    <row r="311" spans="1:8" customFormat="1" ht="16.149999999999999" hidden="1" x14ac:dyDescent="0.3">
      <c r="A311" s="3">
        <v>108</v>
      </c>
      <c r="B311" s="3">
        <v>7</v>
      </c>
      <c r="C311" s="3" t="s">
        <v>2962</v>
      </c>
      <c r="D311" s="4" t="s">
        <v>2964</v>
      </c>
      <c r="E311" s="4" t="s">
        <v>1403</v>
      </c>
      <c r="F311" s="3">
        <v>20</v>
      </c>
      <c r="G311" s="3" t="s">
        <v>2674</v>
      </c>
      <c r="H311" s="3" t="s">
        <v>2669</v>
      </c>
    </row>
    <row r="312" spans="1:8" x14ac:dyDescent="0.25">
      <c r="A312" s="9">
        <v>108</v>
      </c>
      <c r="B312" s="9">
        <v>7</v>
      </c>
      <c r="C312" s="9" t="s">
        <v>2962</v>
      </c>
      <c r="D312" s="7" t="s">
        <v>2963</v>
      </c>
      <c r="E312" s="7" t="s">
        <v>1396</v>
      </c>
      <c r="F312" s="9">
        <v>20</v>
      </c>
      <c r="G312" s="9" t="s">
        <v>2674</v>
      </c>
      <c r="H312" s="9" t="s">
        <v>2669</v>
      </c>
    </row>
    <row r="313" spans="1:8" customFormat="1" ht="16.149999999999999" hidden="1" x14ac:dyDescent="0.3">
      <c r="A313" s="3">
        <v>108</v>
      </c>
      <c r="B313" s="3">
        <v>7</v>
      </c>
      <c r="C313" s="3" t="s">
        <v>2849</v>
      </c>
      <c r="D313" s="4" t="s">
        <v>2892</v>
      </c>
      <c r="E313" s="4" t="s">
        <v>972</v>
      </c>
      <c r="F313" s="3">
        <v>20</v>
      </c>
      <c r="G313" s="3" t="s">
        <v>2674</v>
      </c>
      <c r="H313" s="3" t="s">
        <v>2669</v>
      </c>
    </row>
    <row r="314" spans="1:8" customFormat="1" ht="16.149999999999999" hidden="1" x14ac:dyDescent="0.3">
      <c r="A314" s="3">
        <v>108</v>
      </c>
      <c r="B314" s="3">
        <v>7</v>
      </c>
      <c r="C314" s="3" t="s">
        <v>2849</v>
      </c>
      <c r="D314" s="4" t="s">
        <v>2852</v>
      </c>
      <c r="E314" s="4" t="s">
        <v>741</v>
      </c>
      <c r="F314" s="3">
        <v>50</v>
      </c>
      <c r="G314" s="3" t="s">
        <v>2674</v>
      </c>
      <c r="H314" s="3" t="s">
        <v>3122</v>
      </c>
    </row>
    <row r="315" spans="1:8" customFormat="1" ht="16.149999999999999" hidden="1" x14ac:dyDescent="0.3">
      <c r="A315" s="3">
        <v>108</v>
      </c>
      <c r="B315" s="3">
        <v>7</v>
      </c>
      <c r="C315" s="3" t="s">
        <v>2849</v>
      </c>
      <c r="D315" s="4" t="s">
        <v>2852</v>
      </c>
      <c r="E315" s="4" t="s">
        <v>3395</v>
      </c>
      <c r="F315" s="3">
        <v>15</v>
      </c>
      <c r="G315" s="3" t="s">
        <v>2674</v>
      </c>
      <c r="H315" s="3" t="s">
        <v>3122</v>
      </c>
    </row>
    <row r="316" spans="1:8" ht="33" x14ac:dyDescent="0.25">
      <c r="A316" s="9">
        <v>108</v>
      </c>
      <c r="B316" s="9">
        <v>7</v>
      </c>
      <c r="C316" s="9" t="s">
        <v>2849</v>
      </c>
      <c r="D316" s="7" t="s">
        <v>2876</v>
      </c>
      <c r="E316" s="7" t="s">
        <v>3410</v>
      </c>
      <c r="F316" s="9">
        <v>20</v>
      </c>
      <c r="G316" s="9" t="s">
        <v>2674</v>
      </c>
      <c r="H316" s="9" t="s">
        <v>3122</v>
      </c>
    </row>
    <row r="317" spans="1:8" x14ac:dyDescent="0.25">
      <c r="A317" s="9">
        <v>108</v>
      </c>
      <c r="B317" s="9">
        <v>7</v>
      </c>
      <c r="C317" s="9" t="s">
        <v>2849</v>
      </c>
      <c r="D317" s="7" t="s">
        <v>2856</v>
      </c>
      <c r="E317" s="7" t="s">
        <v>764</v>
      </c>
      <c r="F317" s="9">
        <v>50</v>
      </c>
      <c r="G317" s="9" t="s">
        <v>2674</v>
      </c>
      <c r="H317" s="9" t="s">
        <v>3124</v>
      </c>
    </row>
    <row r="318" spans="1:8" x14ac:dyDescent="0.25">
      <c r="A318" s="9">
        <v>108</v>
      </c>
      <c r="B318" s="9">
        <v>7</v>
      </c>
      <c r="C318" s="9" t="s">
        <v>2849</v>
      </c>
      <c r="D318" s="7" t="s">
        <v>2856</v>
      </c>
      <c r="E318" s="7" t="s">
        <v>1071</v>
      </c>
      <c r="F318" s="9">
        <v>50</v>
      </c>
      <c r="G318" s="9" t="s">
        <v>2674</v>
      </c>
      <c r="H318" s="9" t="s">
        <v>3124</v>
      </c>
    </row>
    <row r="319" spans="1:8" customFormat="1" ht="16.149999999999999" hidden="1" x14ac:dyDescent="0.3">
      <c r="A319" s="3">
        <v>108</v>
      </c>
      <c r="B319" s="3">
        <v>7</v>
      </c>
      <c r="C319" s="3" t="s">
        <v>2849</v>
      </c>
      <c r="D319" s="4" t="s">
        <v>2912</v>
      </c>
      <c r="E319" s="4" t="s">
        <v>3590</v>
      </c>
      <c r="F319" s="3">
        <v>10</v>
      </c>
      <c r="G319" s="3" t="s">
        <v>2674</v>
      </c>
      <c r="H319" s="3" t="s">
        <v>2669</v>
      </c>
    </row>
    <row r="320" spans="1:8" customFormat="1" ht="16.149999999999999" hidden="1" x14ac:dyDescent="0.3">
      <c r="A320" s="3">
        <v>108</v>
      </c>
      <c r="B320" s="3">
        <v>7</v>
      </c>
      <c r="C320" s="3" t="s">
        <v>2849</v>
      </c>
      <c r="D320" s="4" t="s">
        <v>2913</v>
      </c>
      <c r="E320" s="4" t="s">
        <v>3590</v>
      </c>
      <c r="F320" s="3">
        <v>10</v>
      </c>
      <c r="G320" s="3" t="s">
        <v>2674</v>
      </c>
      <c r="H320" s="3" t="s">
        <v>2669</v>
      </c>
    </row>
    <row r="321" spans="1:8" customFormat="1" ht="16.149999999999999" hidden="1" x14ac:dyDescent="0.3">
      <c r="A321" s="3">
        <v>108</v>
      </c>
      <c r="B321" s="3">
        <v>7</v>
      </c>
      <c r="C321" s="3" t="s">
        <v>2849</v>
      </c>
      <c r="D321" s="4" t="s">
        <v>2931</v>
      </c>
      <c r="E321" s="4" t="s">
        <v>3590</v>
      </c>
      <c r="F321" s="3">
        <v>10</v>
      </c>
      <c r="G321" s="3" t="s">
        <v>2674</v>
      </c>
      <c r="H321" s="3" t="s">
        <v>2669</v>
      </c>
    </row>
    <row r="322" spans="1:8" customFormat="1" ht="16.149999999999999" hidden="1" x14ac:dyDescent="0.3">
      <c r="A322" s="3">
        <v>108</v>
      </c>
      <c r="B322" s="3">
        <v>7</v>
      </c>
      <c r="C322" s="3" t="s">
        <v>2849</v>
      </c>
      <c r="D322" s="4" t="s">
        <v>2902</v>
      </c>
      <c r="E322" s="4" t="s">
        <v>3590</v>
      </c>
      <c r="F322" s="3">
        <v>10</v>
      </c>
      <c r="G322" s="3" t="s">
        <v>2674</v>
      </c>
      <c r="H322" s="3" t="s">
        <v>2669</v>
      </c>
    </row>
    <row r="323" spans="1:8" customFormat="1" ht="16.149999999999999" hidden="1" x14ac:dyDescent="0.3">
      <c r="A323" s="3">
        <v>108</v>
      </c>
      <c r="B323" s="3">
        <v>7</v>
      </c>
      <c r="C323" s="3" t="s">
        <v>2849</v>
      </c>
      <c r="D323" s="4" t="s">
        <v>2936</v>
      </c>
      <c r="E323" s="4" t="s">
        <v>3590</v>
      </c>
      <c r="F323" s="3">
        <v>10</v>
      </c>
      <c r="G323" s="3" t="s">
        <v>2674</v>
      </c>
      <c r="H323" s="3" t="s">
        <v>2669</v>
      </c>
    </row>
    <row r="324" spans="1:8" customFormat="1" ht="16.149999999999999" hidden="1" x14ac:dyDescent="0.3">
      <c r="A324" s="3">
        <v>108</v>
      </c>
      <c r="B324" s="3">
        <v>7</v>
      </c>
      <c r="C324" s="3" t="s">
        <v>2849</v>
      </c>
      <c r="D324" s="4" t="s">
        <v>2891</v>
      </c>
      <c r="E324" s="4" t="s">
        <v>3421</v>
      </c>
      <c r="F324" s="3">
        <v>40</v>
      </c>
      <c r="G324" s="3" t="s">
        <v>2674</v>
      </c>
      <c r="H324" s="3" t="s">
        <v>2669</v>
      </c>
    </row>
    <row r="325" spans="1:8" customFormat="1" ht="16.149999999999999" hidden="1" x14ac:dyDescent="0.3">
      <c r="A325" s="3">
        <v>108</v>
      </c>
      <c r="B325" s="3">
        <v>7</v>
      </c>
      <c r="C325" s="3" t="s">
        <v>2849</v>
      </c>
      <c r="D325" s="4" t="s">
        <v>3373</v>
      </c>
      <c r="E325" s="4" t="s">
        <v>3439</v>
      </c>
      <c r="F325" s="3">
        <v>20</v>
      </c>
      <c r="G325" s="3" t="s">
        <v>2674</v>
      </c>
      <c r="H325" s="3" t="s">
        <v>2669</v>
      </c>
    </row>
    <row r="326" spans="1:8" x14ac:dyDescent="0.25">
      <c r="A326" s="9">
        <v>108</v>
      </c>
      <c r="B326" s="9">
        <v>7</v>
      </c>
      <c r="C326" s="9" t="s">
        <v>2849</v>
      </c>
      <c r="D326" s="7" t="s">
        <v>2897</v>
      </c>
      <c r="E326" s="7" t="s">
        <v>997</v>
      </c>
      <c r="F326" s="9">
        <v>20</v>
      </c>
      <c r="G326" s="9" t="s">
        <v>2674</v>
      </c>
      <c r="H326" s="9" t="s">
        <v>2669</v>
      </c>
    </row>
    <row r="327" spans="1:8" customFormat="1" ht="16.149999999999999" hidden="1" x14ac:dyDescent="0.3">
      <c r="A327" s="3">
        <v>108</v>
      </c>
      <c r="B327" s="3">
        <v>7</v>
      </c>
      <c r="C327" s="3" t="s">
        <v>2849</v>
      </c>
      <c r="D327" s="4" t="s">
        <v>944</v>
      </c>
      <c r="E327" s="4" t="s">
        <v>945</v>
      </c>
      <c r="F327" s="3">
        <v>47.104999999999997</v>
      </c>
      <c r="G327" s="3" t="s">
        <v>2674</v>
      </c>
      <c r="H327" s="3" t="s">
        <v>2669</v>
      </c>
    </row>
    <row r="328" spans="1:8" customFormat="1" ht="16.149999999999999" hidden="1" x14ac:dyDescent="0.3">
      <c r="A328" s="3">
        <v>108</v>
      </c>
      <c r="B328" s="3">
        <v>7</v>
      </c>
      <c r="C328" s="3" t="s">
        <v>2849</v>
      </c>
      <c r="D328" s="4" t="s">
        <v>944</v>
      </c>
      <c r="E328" s="4" t="s">
        <v>1060</v>
      </c>
      <c r="F328" s="3">
        <v>41.387999999999998</v>
      </c>
      <c r="G328" s="3" t="s">
        <v>2674</v>
      </c>
      <c r="H328" s="3" t="s">
        <v>2669</v>
      </c>
    </row>
    <row r="329" spans="1:8" x14ac:dyDescent="0.25">
      <c r="A329" s="9">
        <v>108</v>
      </c>
      <c r="B329" s="9">
        <v>7</v>
      </c>
      <c r="C329" s="9" t="s">
        <v>2849</v>
      </c>
      <c r="D329" s="7" t="s">
        <v>3377</v>
      </c>
      <c r="E329" s="7" t="s">
        <v>3408</v>
      </c>
      <c r="F329" s="9">
        <v>15</v>
      </c>
      <c r="G329" s="9" t="s">
        <v>2674</v>
      </c>
      <c r="H329" s="9" t="s">
        <v>2669</v>
      </c>
    </row>
    <row r="330" spans="1:8" x14ac:dyDescent="0.25">
      <c r="A330" s="9">
        <v>108</v>
      </c>
      <c r="B330" s="9">
        <v>7</v>
      </c>
      <c r="C330" s="9" t="s">
        <v>2849</v>
      </c>
      <c r="D330" s="7" t="s">
        <v>2898</v>
      </c>
      <c r="E330" s="7" t="s">
        <v>1007</v>
      </c>
      <c r="F330" s="9">
        <v>20</v>
      </c>
      <c r="G330" s="9" t="s">
        <v>2674</v>
      </c>
      <c r="H330" s="9" t="s">
        <v>2669</v>
      </c>
    </row>
    <row r="331" spans="1:8" customFormat="1" ht="16.149999999999999" hidden="1" x14ac:dyDescent="0.3">
      <c r="A331" s="3">
        <v>108</v>
      </c>
      <c r="B331" s="3">
        <v>7</v>
      </c>
      <c r="C331" s="3" t="s">
        <v>2849</v>
      </c>
      <c r="D331" s="4" t="s">
        <v>2864</v>
      </c>
      <c r="E331" s="4" t="s">
        <v>3400</v>
      </c>
      <c r="F331" s="3">
        <v>20</v>
      </c>
      <c r="G331" s="3" t="s">
        <v>2674</v>
      </c>
      <c r="H331" s="3" t="s">
        <v>2669</v>
      </c>
    </row>
    <row r="332" spans="1:8" customFormat="1" ht="16.149999999999999" hidden="1" x14ac:dyDescent="0.3">
      <c r="A332" s="3">
        <v>108</v>
      </c>
      <c r="B332" s="3">
        <v>7</v>
      </c>
      <c r="C332" s="3" t="s">
        <v>2849</v>
      </c>
      <c r="D332" s="4" t="s">
        <v>2879</v>
      </c>
      <c r="E332" s="4" t="s">
        <v>3412</v>
      </c>
      <c r="F332" s="3">
        <v>20</v>
      </c>
      <c r="G332" s="3" t="s">
        <v>2674</v>
      </c>
      <c r="H332" s="3" t="s">
        <v>2669</v>
      </c>
    </row>
    <row r="333" spans="1:8" customFormat="1" ht="16.149999999999999" hidden="1" x14ac:dyDescent="0.3">
      <c r="A333" s="3">
        <v>108</v>
      </c>
      <c r="B333" s="3">
        <v>7</v>
      </c>
      <c r="C333" s="3" t="s">
        <v>2849</v>
      </c>
      <c r="D333" s="4" t="s">
        <v>2872</v>
      </c>
      <c r="E333" s="4" t="s">
        <v>3406</v>
      </c>
      <c r="F333" s="3">
        <v>10</v>
      </c>
      <c r="G333" s="3" t="s">
        <v>2674</v>
      </c>
      <c r="H333" s="3" t="s">
        <v>2669</v>
      </c>
    </row>
    <row r="334" spans="1:8" customFormat="1" ht="16.149999999999999" hidden="1" x14ac:dyDescent="0.3">
      <c r="A334" s="3">
        <v>108</v>
      </c>
      <c r="B334" s="3">
        <v>7</v>
      </c>
      <c r="C334" s="3" t="s">
        <v>2849</v>
      </c>
      <c r="D334" s="4" t="s">
        <v>2865</v>
      </c>
      <c r="E334" s="4" t="s">
        <v>3401</v>
      </c>
      <c r="F334" s="3">
        <v>20</v>
      </c>
      <c r="G334" s="3" t="s">
        <v>2674</v>
      </c>
      <c r="H334" s="3" t="s">
        <v>2669</v>
      </c>
    </row>
    <row r="335" spans="1:8" x14ac:dyDescent="0.25">
      <c r="A335" s="9">
        <v>108</v>
      </c>
      <c r="B335" s="9">
        <v>7</v>
      </c>
      <c r="C335" s="9" t="s">
        <v>2849</v>
      </c>
      <c r="D335" s="7" t="s">
        <v>2920</v>
      </c>
      <c r="E335" s="7" t="s">
        <v>1139</v>
      </c>
      <c r="F335" s="9">
        <v>30</v>
      </c>
      <c r="G335" s="9" t="s">
        <v>2674</v>
      </c>
      <c r="H335" s="9" t="s">
        <v>2669</v>
      </c>
    </row>
    <row r="336" spans="1:8" customFormat="1" ht="16.149999999999999" hidden="1" x14ac:dyDescent="0.3">
      <c r="A336" s="3">
        <v>108</v>
      </c>
      <c r="B336" s="3">
        <v>7</v>
      </c>
      <c r="C336" s="3" t="s">
        <v>2849</v>
      </c>
      <c r="D336" s="4" t="s">
        <v>2889</v>
      </c>
      <c r="E336" s="4" t="s">
        <v>3419</v>
      </c>
      <c r="F336" s="3">
        <v>20</v>
      </c>
      <c r="G336" s="3" t="s">
        <v>2674</v>
      </c>
      <c r="H336" s="3" t="s">
        <v>2669</v>
      </c>
    </row>
    <row r="337" spans="1:8" customFormat="1" ht="16.149999999999999" hidden="1" x14ac:dyDescent="0.3">
      <c r="A337" s="3">
        <v>108</v>
      </c>
      <c r="B337" s="3">
        <v>7</v>
      </c>
      <c r="C337" s="3" t="s">
        <v>2849</v>
      </c>
      <c r="D337" s="4" t="s">
        <v>2869</v>
      </c>
      <c r="E337" s="4" t="s">
        <v>3417</v>
      </c>
      <c r="F337" s="3">
        <v>9.9749999999999996</v>
      </c>
      <c r="G337" s="3" t="s">
        <v>2674</v>
      </c>
      <c r="H337" s="3" t="s">
        <v>2669</v>
      </c>
    </row>
    <row r="338" spans="1:8" customFormat="1" ht="16.149999999999999" hidden="1" x14ac:dyDescent="0.3">
      <c r="A338" s="3">
        <v>108</v>
      </c>
      <c r="B338" s="3">
        <v>7</v>
      </c>
      <c r="C338" s="3" t="s">
        <v>2849</v>
      </c>
      <c r="D338" s="4" t="s">
        <v>2869</v>
      </c>
      <c r="E338" s="4" t="s">
        <v>3418</v>
      </c>
      <c r="F338" s="3">
        <v>57.53</v>
      </c>
      <c r="G338" s="3" t="s">
        <v>2674</v>
      </c>
      <c r="H338" s="3" t="s">
        <v>2669</v>
      </c>
    </row>
    <row r="339" spans="1:8" customFormat="1" ht="16.149999999999999" hidden="1" x14ac:dyDescent="0.3">
      <c r="A339" s="3">
        <v>108</v>
      </c>
      <c r="B339" s="3">
        <v>7</v>
      </c>
      <c r="C339" s="3" t="s">
        <v>2849</v>
      </c>
      <c r="D339" s="4" t="s">
        <v>2893</v>
      </c>
      <c r="E339" s="4" t="s">
        <v>3422</v>
      </c>
      <c r="F339" s="3">
        <v>30</v>
      </c>
      <c r="G339" s="3" t="s">
        <v>2674</v>
      </c>
      <c r="H339" s="3" t="s">
        <v>2669</v>
      </c>
    </row>
    <row r="340" spans="1:8" customFormat="1" ht="16.149999999999999" hidden="1" x14ac:dyDescent="0.3">
      <c r="A340" s="3">
        <v>108</v>
      </c>
      <c r="B340" s="3">
        <v>7</v>
      </c>
      <c r="C340" s="3" t="s">
        <v>2849</v>
      </c>
      <c r="D340" s="4" t="s">
        <v>2887</v>
      </c>
      <c r="E340" s="4" t="s">
        <v>3416</v>
      </c>
      <c r="F340" s="3">
        <v>20</v>
      </c>
      <c r="G340" s="3" t="s">
        <v>2674</v>
      </c>
      <c r="H340" s="3" t="s">
        <v>2669</v>
      </c>
    </row>
    <row r="341" spans="1:8" customFormat="1" ht="16.149999999999999" hidden="1" x14ac:dyDescent="0.3">
      <c r="A341" s="3">
        <v>108</v>
      </c>
      <c r="B341" s="3">
        <v>7</v>
      </c>
      <c r="C341" s="3" t="s">
        <v>2849</v>
      </c>
      <c r="D341" s="4" t="s">
        <v>2901</v>
      </c>
      <c r="E341" s="4" t="s">
        <v>1022</v>
      </c>
      <c r="F341" s="3">
        <v>20</v>
      </c>
      <c r="G341" s="3" t="s">
        <v>2674</v>
      </c>
      <c r="H341" s="3" t="s">
        <v>2669</v>
      </c>
    </row>
    <row r="342" spans="1:8" customFormat="1" ht="16.149999999999999" hidden="1" x14ac:dyDescent="0.3">
      <c r="A342" s="3">
        <v>108</v>
      </c>
      <c r="B342" s="3">
        <v>7</v>
      </c>
      <c r="C342" s="3" t="s">
        <v>2849</v>
      </c>
      <c r="D342" s="4" t="s">
        <v>2855</v>
      </c>
      <c r="E342" s="4" t="s">
        <v>758</v>
      </c>
      <c r="F342" s="3">
        <v>20</v>
      </c>
      <c r="G342" s="3" t="s">
        <v>2674</v>
      </c>
      <c r="H342" s="3" t="s">
        <v>2669</v>
      </c>
    </row>
    <row r="343" spans="1:8" customFormat="1" ht="16.149999999999999" hidden="1" x14ac:dyDescent="0.3">
      <c r="A343" s="3">
        <v>108</v>
      </c>
      <c r="B343" s="3">
        <v>7</v>
      </c>
      <c r="C343" s="3" t="s">
        <v>2849</v>
      </c>
      <c r="D343" s="4" t="s">
        <v>2881</v>
      </c>
      <c r="E343" s="4" t="s">
        <v>905</v>
      </c>
      <c r="F343" s="3">
        <v>20</v>
      </c>
      <c r="G343" s="3" t="s">
        <v>2674</v>
      </c>
      <c r="H343" s="3" t="s">
        <v>2669</v>
      </c>
    </row>
    <row r="344" spans="1:8" customFormat="1" ht="16.149999999999999" hidden="1" x14ac:dyDescent="0.3">
      <c r="A344" s="3">
        <v>108</v>
      </c>
      <c r="B344" s="3">
        <v>7</v>
      </c>
      <c r="C344" s="3" t="s">
        <v>2849</v>
      </c>
      <c r="D344" s="4" t="s">
        <v>2853</v>
      </c>
      <c r="E344" s="4" t="s">
        <v>3397</v>
      </c>
      <c r="F344" s="3">
        <v>20</v>
      </c>
      <c r="G344" s="3" t="s">
        <v>2674</v>
      </c>
      <c r="H344" s="3" t="s">
        <v>2669</v>
      </c>
    </row>
    <row r="345" spans="1:8" customFormat="1" ht="16.149999999999999" hidden="1" x14ac:dyDescent="0.3">
      <c r="A345" s="3">
        <v>108</v>
      </c>
      <c r="B345" s="3">
        <v>7</v>
      </c>
      <c r="C345" s="3" t="s">
        <v>2849</v>
      </c>
      <c r="D345" s="4" t="s">
        <v>2934</v>
      </c>
      <c r="E345" s="4" t="s">
        <v>3450</v>
      </c>
      <c r="F345" s="3">
        <v>20</v>
      </c>
      <c r="G345" s="3" t="s">
        <v>2674</v>
      </c>
      <c r="H345" s="3" t="s">
        <v>2669</v>
      </c>
    </row>
    <row r="346" spans="1:8" x14ac:dyDescent="0.25">
      <c r="A346" s="9">
        <v>108</v>
      </c>
      <c r="B346" s="9">
        <v>7</v>
      </c>
      <c r="C346" s="9" t="s">
        <v>2849</v>
      </c>
      <c r="D346" s="7" t="s">
        <v>2884</v>
      </c>
      <c r="E346" s="7" t="s">
        <v>924</v>
      </c>
      <c r="F346" s="9">
        <v>10</v>
      </c>
      <c r="G346" s="9" t="s">
        <v>2674</v>
      </c>
      <c r="H346" s="9" t="s">
        <v>2669</v>
      </c>
    </row>
    <row r="347" spans="1:8" customFormat="1" ht="16.149999999999999" hidden="1" x14ac:dyDescent="0.3">
      <c r="A347" s="3">
        <v>108</v>
      </c>
      <c r="B347" s="3">
        <v>7</v>
      </c>
      <c r="C347" s="3" t="s">
        <v>2849</v>
      </c>
      <c r="D347" s="4" t="s">
        <v>2859</v>
      </c>
      <c r="E347" s="4" t="s">
        <v>782</v>
      </c>
      <c r="F347" s="3">
        <v>50</v>
      </c>
      <c r="G347" s="3" t="s">
        <v>2674</v>
      </c>
      <c r="H347" s="3" t="s">
        <v>2669</v>
      </c>
    </row>
    <row r="348" spans="1:8" x14ac:dyDescent="0.25">
      <c r="A348" s="9">
        <v>108</v>
      </c>
      <c r="B348" s="9">
        <v>7</v>
      </c>
      <c r="C348" s="9" t="s">
        <v>2849</v>
      </c>
      <c r="D348" s="7" t="s">
        <v>3376</v>
      </c>
      <c r="E348" s="7" t="s">
        <v>890</v>
      </c>
      <c r="F348" s="9">
        <v>20</v>
      </c>
      <c r="G348" s="9" t="s">
        <v>2674</v>
      </c>
      <c r="H348" s="9" t="s">
        <v>2669</v>
      </c>
    </row>
    <row r="349" spans="1:8" x14ac:dyDescent="0.25">
      <c r="A349" s="9">
        <v>108</v>
      </c>
      <c r="B349" s="9">
        <v>7</v>
      </c>
      <c r="C349" s="9" t="s">
        <v>2849</v>
      </c>
      <c r="D349" s="7" t="s">
        <v>2883</v>
      </c>
      <c r="E349" s="7" t="s">
        <v>919</v>
      </c>
      <c r="F349" s="9">
        <v>20</v>
      </c>
      <c r="G349" s="9" t="s">
        <v>2674</v>
      </c>
      <c r="H349" s="9" t="s">
        <v>2669</v>
      </c>
    </row>
    <row r="350" spans="1:8" x14ac:dyDescent="0.25">
      <c r="A350" s="9">
        <v>108</v>
      </c>
      <c r="B350" s="9">
        <v>7</v>
      </c>
      <c r="C350" s="9" t="s">
        <v>2849</v>
      </c>
      <c r="D350" s="7" t="s">
        <v>2910</v>
      </c>
      <c r="E350" s="7" t="s">
        <v>1076</v>
      </c>
      <c r="F350" s="9">
        <v>50</v>
      </c>
      <c r="G350" s="9" t="s">
        <v>2674</v>
      </c>
      <c r="H350" s="9" t="s">
        <v>2669</v>
      </c>
    </row>
    <row r="351" spans="1:8" customFormat="1" ht="16.149999999999999" hidden="1" x14ac:dyDescent="0.3">
      <c r="A351" s="3">
        <v>108</v>
      </c>
      <c r="B351" s="3">
        <v>7</v>
      </c>
      <c r="C351" s="3" t="s">
        <v>2849</v>
      </c>
      <c r="D351" s="4" t="s">
        <v>2867</v>
      </c>
      <c r="E351" s="4" t="s">
        <v>3403</v>
      </c>
      <c r="F351" s="3">
        <v>15</v>
      </c>
      <c r="G351" s="3" t="s">
        <v>2674</v>
      </c>
      <c r="H351" s="3" t="s">
        <v>2669</v>
      </c>
    </row>
    <row r="352" spans="1:8" x14ac:dyDescent="0.25">
      <c r="A352" s="9">
        <v>108</v>
      </c>
      <c r="B352" s="9">
        <v>7</v>
      </c>
      <c r="C352" s="9" t="s">
        <v>2849</v>
      </c>
      <c r="D352" s="7" t="s">
        <v>2862</v>
      </c>
      <c r="E352" s="7" t="s">
        <v>3398</v>
      </c>
      <c r="F352" s="9">
        <v>30</v>
      </c>
      <c r="G352" s="9" t="s">
        <v>2674</v>
      </c>
      <c r="H352" s="9" t="s">
        <v>2669</v>
      </c>
    </row>
    <row r="353" spans="1:8" customFormat="1" ht="16.149999999999999" hidden="1" x14ac:dyDescent="0.3">
      <c r="A353" s="3">
        <v>108</v>
      </c>
      <c r="B353" s="3">
        <v>7</v>
      </c>
      <c r="C353" s="3" t="s">
        <v>2849</v>
      </c>
      <c r="D353" s="4" t="s">
        <v>2857</v>
      </c>
      <c r="E353" s="4" t="s">
        <v>769</v>
      </c>
      <c r="F353" s="3">
        <v>50</v>
      </c>
      <c r="G353" s="3" t="s">
        <v>2674</v>
      </c>
      <c r="H353" s="3" t="s">
        <v>2669</v>
      </c>
    </row>
    <row r="354" spans="1:8" customFormat="1" ht="16.149999999999999" hidden="1" x14ac:dyDescent="0.3">
      <c r="A354" s="3">
        <v>108</v>
      </c>
      <c r="B354" s="3">
        <v>7</v>
      </c>
      <c r="C354" s="3" t="s">
        <v>2849</v>
      </c>
      <c r="D354" s="4" t="s">
        <v>2857</v>
      </c>
      <c r="E354" s="4" t="s">
        <v>774</v>
      </c>
      <c r="F354" s="3">
        <v>50</v>
      </c>
      <c r="G354" s="3" t="s">
        <v>2674</v>
      </c>
      <c r="H354" s="3" t="s">
        <v>2669</v>
      </c>
    </row>
    <row r="355" spans="1:8" customFormat="1" ht="16.149999999999999" hidden="1" x14ac:dyDescent="0.3">
      <c r="A355" s="3">
        <v>108</v>
      </c>
      <c r="B355" s="3">
        <v>7</v>
      </c>
      <c r="C355" s="3" t="s">
        <v>2849</v>
      </c>
      <c r="D355" s="4" t="s">
        <v>2851</v>
      </c>
      <c r="E355" s="4" t="s">
        <v>3396</v>
      </c>
      <c r="F355" s="3">
        <v>20</v>
      </c>
      <c r="G355" s="3" t="s">
        <v>2674</v>
      </c>
      <c r="H355" s="3" t="s">
        <v>2669</v>
      </c>
    </row>
    <row r="356" spans="1:8" customFormat="1" ht="16.149999999999999" hidden="1" x14ac:dyDescent="0.3">
      <c r="A356" s="3">
        <v>108</v>
      </c>
      <c r="B356" s="3">
        <v>7</v>
      </c>
      <c r="C356" s="3" t="s">
        <v>2849</v>
      </c>
      <c r="D356" s="5" t="s">
        <v>2863</v>
      </c>
      <c r="E356" s="4" t="s">
        <v>3399</v>
      </c>
      <c r="F356" s="3">
        <v>20</v>
      </c>
      <c r="G356" s="3" t="s">
        <v>2674</v>
      </c>
      <c r="H356" s="3" t="s">
        <v>2669</v>
      </c>
    </row>
    <row r="357" spans="1:8" x14ac:dyDescent="0.25">
      <c r="A357" s="9">
        <v>108</v>
      </c>
      <c r="B357" s="9">
        <v>7</v>
      </c>
      <c r="C357" s="9" t="s">
        <v>2849</v>
      </c>
      <c r="D357" s="7" t="s">
        <v>2861</v>
      </c>
      <c r="E357" s="7" t="s">
        <v>795</v>
      </c>
      <c r="F357" s="9">
        <v>20</v>
      </c>
      <c r="G357" s="9" t="s">
        <v>2674</v>
      </c>
      <c r="H357" s="9" t="s">
        <v>2669</v>
      </c>
    </row>
    <row r="358" spans="1:8" x14ac:dyDescent="0.25">
      <c r="A358" s="9">
        <v>108</v>
      </c>
      <c r="B358" s="9">
        <v>7</v>
      </c>
      <c r="C358" s="9" t="s">
        <v>2849</v>
      </c>
      <c r="D358" s="7" t="s">
        <v>2908</v>
      </c>
      <c r="E358" s="7" t="s">
        <v>1062</v>
      </c>
      <c r="F358" s="9">
        <v>10</v>
      </c>
      <c r="G358" s="9" t="s">
        <v>2674</v>
      </c>
      <c r="H358" s="9" t="s">
        <v>2669</v>
      </c>
    </row>
    <row r="359" spans="1:8" x14ac:dyDescent="0.25">
      <c r="A359" s="9">
        <v>108</v>
      </c>
      <c r="B359" s="9">
        <v>7</v>
      </c>
      <c r="C359" s="9" t="s">
        <v>2849</v>
      </c>
      <c r="D359" s="7" t="s">
        <v>2895</v>
      </c>
      <c r="E359" s="7" t="s">
        <v>3424</v>
      </c>
      <c r="F359" s="9">
        <v>20</v>
      </c>
      <c r="G359" s="9" t="s">
        <v>2674</v>
      </c>
      <c r="H359" s="9" t="s">
        <v>2669</v>
      </c>
    </row>
    <row r="360" spans="1:8" customFormat="1" ht="16.149999999999999" hidden="1" x14ac:dyDescent="0.3">
      <c r="A360" s="3">
        <v>108</v>
      </c>
      <c r="B360" s="3">
        <v>7</v>
      </c>
      <c r="C360" s="3" t="s">
        <v>2849</v>
      </c>
      <c r="D360" s="4" t="s">
        <v>2875</v>
      </c>
      <c r="E360" s="4" t="s">
        <v>865</v>
      </c>
      <c r="F360" s="3">
        <v>10</v>
      </c>
      <c r="G360" s="3" t="s">
        <v>2674</v>
      </c>
      <c r="H360" s="3" t="s">
        <v>2669</v>
      </c>
    </row>
    <row r="361" spans="1:8" customFormat="1" ht="16.149999999999999" hidden="1" x14ac:dyDescent="0.3">
      <c r="A361" s="3">
        <v>108</v>
      </c>
      <c r="B361" s="3">
        <v>7</v>
      </c>
      <c r="C361" s="3" t="s">
        <v>2849</v>
      </c>
      <c r="D361" s="4" t="s">
        <v>2882</v>
      </c>
      <c r="E361" s="4" t="s">
        <v>912</v>
      </c>
      <c r="F361" s="3">
        <v>20</v>
      </c>
      <c r="G361" s="3" t="s">
        <v>2674</v>
      </c>
      <c r="H361" s="3" t="s">
        <v>2669</v>
      </c>
    </row>
    <row r="362" spans="1:8" customFormat="1" ht="16.149999999999999" hidden="1" x14ac:dyDescent="0.3">
      <c r="A362" s="3">
        <v>108</v>
      </c>
      <c r="B362" s="3">
        <v>7</v>
      </c>
      <c r="C362" s="3" t="s">
        <v>2849</v>
      </c>
      <c r="D362" s="4" t="s">
        <v>2933</v>
      </c>
      <c r="E362" s="4" t="s">
        <v>3449</v>
      </c>
      <c r="F362" s="3">
        <v>50</v>
      </c>
      <c r="G362" s="3" t="s">
        <v>2674</v>
      </c>
      <c r="H362" s="3" t="s">
        <v>2669</v>
      </c>
    </row>
    <row r="363" spans="1:8" customFormat="1" ht="16.149999999999999" hidden="1" x14ac:dyDescent="0.3">
      <c r="A363" s="3">
        <v>108</v>
      </c>
      <c r="B363" s="3">
        <v>7</v>
      </c>
      <c r="C363" s="3" t="s">
        <v>2849</v>
      </c>
      <c r="D363" s="4" t="s">
        <v>2921</v>
      </c>
      <c r="E363" s="4" t="s">
        <v>3441</v>
      </c>
      <c r="F363" s="3">
        <v>15</v>
      </c>
      <c r="G363" s="3" t="s">
        <v>2674</v>
      </c>
      <c r="H363" s="3" t="s">
        <v>2669</v>
      </c>
    </row>
    <row r="364" spans="1:8" x14ac:dyDescent="0.25">
      <c r="A364" s="9">
        <v>108</v>
      </c>
      <c r="B364" s="9">
        <v>7</v>
      </c>
      <c r="C364" s="9" t="s">
        <v>2849</v>
      </c>
      <c r="D364" s="7" t="s">
        <v>2906</v>
      </c>
      <c r="E364" s="7" t="s">
        <v>3428</v>
      </c>
      <c r="F364" s="9">
        <v>15</v>
      </c>
      <c r="G364" s="9" t="s">
        <v>2674</v>
      </c>
      <c r="H364" s="9" t="s">
        <v>2669</v>
      </c>
    </row>
    <row r="365" spans="1:8" x14ac:dyDescent="0.25">
      <c r="A365" s="9">
        <v>108</v>
      </c>
      <c r="B365" s="9">
        <v>7</v>
      </c>
      <c r="C365" s="9" t="s">
        <v>2849</v>
      </c>
      <c r="D365" s="7" t="s">
        <v>2906</v>
      </c>
      <c r="E365" s="7" t="s">
        <v>3429</v>
      </c>
      <c r="F365" s="9">
        <v>15</v>
      </c>
      <c r="G365" s="9" t="s">
        <v>2674</v>
      </c>
      <c r="H365" s="9" t="s">
        <v>2669</v>
      </c>
    </row>
    <row r="366" spans="1:8" customFormat="1" ht="16.149999999999999" hidden="1" x14ac:dyDescent="0.3">
      <c r="A366" s="3">
        <v>108</v>
      </c>
      <c r="B366" s="3">
        <v>7</v>
      </c>
      <c r="C366" s="3" t="s">
        <v>2849</v>
      </c>
      <c r="D366" s="4" t="s">
        <v>3371</v>
      </c>
      <c r="E366" s="4" t="s">
        <v>3352</v>
      </c>
      <c r="F366" s="3">
        <v>20</v>
      </c>
      <c r="G366" s="3" t="s">
        <v>2674</v>
      </c>
      <c r="H366" s="3" t="s">
        <v>2669</v>
      </c>
    </row>
    <row r="367" spans="1:8" customFormat="1" ht="16.149999999999999" hidden="1" x14ac:dyDescent="0.3">
      <c r="A367" s="3">
        <v>108</v>
      </c>
      <c r="B367" s="3">
        <v>7</v>
      </c>
      <c r="C367" s="3" t="s">
        <v>2849</v>
      </c>
      <c r="D367" s="4" t="s">
        <v>3372</v>
      </c>
      <c r="E367" s="4" t="s">
        <v>3414</v>
      </c>
      <c r="F367" s="3">
        <v>30</v>
      </c>
      <c r="G367" s="3" t="s">
        <v>2674</v>
      </c>
      <c r="H367" s="3" t="s">
        <v>2669</v>
      </c>
    </row>
    <row r="368" spans="1:8" x14ac:dyDescent="0.25">
      <c r="A368" s="9">
        <v>108</v>
      </c>
      <c r="B368" s="9">
        <v>7</v>
      </c>
      <c r="C368" s="9" t="s">
        <v>2849</v>
      </c>
      <c r="D368" s="7" t="s">
        <v>2907</v>
      </c>
      <c r="E368" s="7" t="s">
        <v>3430</v>
      </c>
      <c r="F368" s="9">
        <v>10</v>
      </c>
      <c r="G368" s="9" t="s">
        <v>2674</v>
      </c>
      <c r="H368" s="9" t="s">
        <v>2669</v>
      </c>
    </row>
    <row r="369" spans="1:8" x14ac:dyDescent="0.25">
      <c r="A369" s="9">
        <v>108</v>
      </c>
      <c r="B369" s="9">
        <v>7</v>
      </c>
      <c r="C369" s="9" t="s">
        <v>2849</v>
      </c>
      <c r="D369" s="7" t="s">
        <v>2909</v>
      </c>
      <c r="E369" s="7" t="s">
        <v>3431</v>
      </c>
      <c r="F369" s="9">
        <v>20</v>
      </c>
      <c r="G369" s="9" t="s">
        <v>2674</v>
      </c>
      <c r="H369" s="9" t="s">
        <v>2669</v>
      </c>
    </row>
    <row r="370" spans="1:8" customFormat="1" ht="16.149999999999999" hidden="1" x14ac:dyDescent="0.3">
      <c r="A370" s="3">
        <v>108</v>
      </c>
      <c r="B370" s="3">
        <v>7</v>
      </c>
      <c r="C370" s="3" t="s">
        <v>2849</v>
      </c>
      <c r="D370" s="4" t="s">
        <v>2900</v>
      </c>
      <c r="E370" s="4" t="s">
        <v>3426</v>
      </c>
      <c r="F370" s="3">
        <v>20</v>
      </c>
      <c r="G370" s="3" t="s">
        <v>2674</v>
      </c>
      <c r="H370" s="3" t="s">
        <v>2669</v>
      </c>
    </row>
    <row r="371" spans="1:8" ht="33" x14ac:dyDescent="0.25">
      <c r="A371" s="9">
        <v>108</v>
      </c>
      <c r="B371" s="9">
        <v>7</v>
      </c>
      <c r="C371" s="9" t="s">
        <v>2849</v>
      </c>
      <c r="D371" s="7" t="s">
        <v>2930</v>
      </c>
      <c r="E371" s="7" t="s">
        <v>3447</v>
      </c>
      <c r="F371" s="9">
        <v>20</v>
      </c>
      <c r="G371" s="9" t="s">
        <v>2674</v>
      </c>
      <c r="H371" s="9" t="s">
        <v>2669</v>
      </c>
    </row>
    <row r="372" spans="1:8" customFormat="1" ht="16.149999999999999" hidden="1" x14ac:dyDescent="0.3">
      <c r="A372" s="3">
        <v>108</v>
      </c>
      <c r="B372" s="3">
        <v>7</v>
      </c>
      <c r="C372" s="3" t="s">
        <v>2849</v>
      </c>
      <c r="D372" s="4" t="s">
        <v>2890</v>
      </c>
      <c r="E372" s="4" t="s">
        <v>3420</v>
      </c>
      <c r="F372" s="3">
        <v>20</v>
      </c>
      <c r="G372" s="3" t="s">
        <v>2674</v>
      </c>
      <c r="H372" s="3" t="s">
        <v>2669</v>
      </c>
    </row>
    <row r="373" spans="1:8" customFormat="1" ht="16.149999999999999" hidden="1" x14ac:dyDescent="0.3">
      <c r="A373" s="3">
        <v>108</v>
      </c>
      <c r="B373" s="3">
        <v>7</v>
      </c>
      <c r="C373" s="3" t="s">
        <v>2849</v>
      </c>
      <c r="D373" s="4" t="s">
        <v>2870</v>
      </c>
      <c r="E373" s="4" t="s">
        <v>841</v>
      </c>
      <c r="F373" s="3">
        <v>30</v>
      </c>
      <c r="G373" s="3" t="s">
        <v>2674</v>
      </c>
      <c r="H373" s="3" t="s">
        <v>2669</v>
      </c>
    </row>
    <row r="374" spans="1:8" customFormat="1" ht="16.149999999999999" hidden="1" x14ac:dyDescent="0.3">
      <c r="A374" s="3">
        <v>108</v>
      </c>
      <c r="B374" s="3">
        <v>7</v>
      </c>
      <c r="C374" s="3" t="s">
        <v>2849</v>
      </c>
      <c r="D374" s="4" t="s">
        <v>2885</v>
      </c>
      <c r="E374" s="4" t="s">
        <v>929</v>
      </c>
      <c r="F374" s="3">
        <v>20</v>
      </c>
      <c r="G374" s="3" t="s">
        <v>2674</v>
      </c>
      <c r="H374" s="3" t="s">
        <v>2669</v>
      </c>
    </row>
    <row r="375" spans="1:8" x14ac:dyDescent="0.25">
      <c r="A375" s="9">
        <v>108</v>
      </c>
      <c r="B375" s="9">
        <v>7</v>
      </c>
      <c r="C375" s="9" t="s">
        <v>2849</v>
      </c>
      <c r="D375" s="7" t="s">
        <v>2886</v>
      </c>
      <c r="E375" s="7" t="s">
        <v>934</v>
      </c>
      <c r="F375" s="9">
        <v>20</v>
      </c>
      <c r="G375" s="9" t="s">
        <v>2674</v>
      </c>
      <c r="H375" s="9" t="s">
        <v>2669</v>
      </c>
    </row>
    <row r="376" spans="1:8" customFormat="1" ht="16.149999999999999" hidden="1" x14ac:dyDescent="0.3">
      <c r="A376" s="3">
        <v>108</v>
      </c>
      <c r="B376" s="3">
        <v>7</v>
      </c>
      <c r="C376" s="3" t="s">
        <v>2849</v>
      </c>
      <c r="D376" s="4" t="s">
        <v>2919</v>
      </c>
      <c r="E376" s="4" t="s">
        <v>1134</v>
      </c>
      <c r="F376" s="3">
        <v>20</v>
      </c>
      <c r="G376" s="3" t="s">
        <v>2674</v>
      </c>
      <c r="H376" s="3" t="s">
        <v>2669</v>
      </c>
    </row>
    <row r="377" spans="1:8" customFormat="1" ht="16.149999999999999" hidden="1" x14ac:dyDescent="0.3">
      <c r="A377" s="3">
        <v>108</v>
      </c>
      <c r="B377" s="3">
        <v>7</v>
      </c>
      <c r="C377" s="3" t="s">
        <v>2849</v>
      </c>
      <c r="D377" s="4" t="s">
        <v>2918</v>
      </c>
      <c r="E377" s="4" t="s">
        <v>3440</v>
      </c>
      <c r="F377" s="3">
        <v>30</v>
      </c>
      <c r="G377" s="3" t="s">
        <v>2674</v>
      </c>
      <c r="H377" s="3" t="s">
        <v>2669</v>
      </c>
    </row>
    <row r="378" spans="1:8" x14ac:dyDescent="0.25">
      <c r="A378" s="9">
        <v>108</v>
      </c>
      <c r="B378" s="9">
        <v>7</v>
      </c>
      <c r="C378" s="9" t="s">
        <v>2849</v>
      </c>
      <c r="D378" s="7" t="s">
        <v>2896</v>
      </c>
      <c r="E378" s="7" t="s">
        <v>3425</v>
      </c>
      <c r="F378" s="9">
        <v>10</v>
      </c>
      <c r="G378" s="9" t="s">
        <v>2674</v>
      </c>
      <c r="H378" s="9" t="s">
        <v>2669</v>
      </c>
    </row>
    <row r="379" spans="1:8" customFormat="1" ht="16.149999999999999" hidden="1" x14ac:dyDescent="0.3">
      <c r="A379" s="3">
        <v>108</v>
      </c>
      <c r="B379" s="3">
        <v>7</v>
      </c>
      <c r="C379" s="3" t="s">
        <v>2849</v>
      </c>
      <c r="D379" s="4" t="s">
        <v>2925</v>
      </c>
      <c r="E379" s="4" t="s">
        <v>3443</v>
      </c>
      <c r="F379" s="3">
        <v>10</v>
      </c>
      <c r="G379" s="3" t="s">
        <v>2674</v>
      </c>
      <c r="H379" s="3" t="s">
        <v>2669</v>
      </c>
    </row>
    <row r="380" spans="1:8" customFormat="1" ht="16.149999999999999" hidden="1" x14ac:dyDescent="0.3">
      <c r="A380" s="3">
        <v>108</v>
      </c>
      <c r="B380" s="3">
        <v>7</v>
      </c>
      <c r="C380" s="3" t="s">
        <v>2849</v>
      </c>
      <c r="D380" s="4" t="s">
        <v>2925</v>
      </c>
      <c r="E380" s="4" t="s">
        <v>3448</v>
      </c>
      <c r="F380" s="3">
        <v>10</v>
      </c>
      <c r="G380" s="3" t="s">
        <v>2674</v>
      </c>
      <c r="H380" s="3" t="s">
        <v>2669</v>
      </c>
    </row>
    <row r="381" spans="1:8" customFormat="1" ht="16.149999999999999" hidden="1" x14ac:dyDescent="0.3">
      <c r="A381" s="3">
        <v>108</v>
      </c>
      <c r="B381" s="3">
        <v>7</v>
      </c>
      <c r="C381" s="3" t="s">
        <v>2849</v>
      </c>
      <c r="D381" s="4" t="s">
        <v>2922</v>
      </c>
      <c r="E381" s="4" t="s">
        <v>3442</v>
      </c>
      <c r="F381" s="3">
        <v>50</v>
      </c>
      <c r="G381" s="3" t="s">
        <v>2674</v>
      </c>
      <c r="H381" s="3" t="s">
        <v>2669</v>
      </c>
    </row>
    <row r="382" spans="1:8" customFormat="1" ht="16.149999999999999" hidden="1" x14ac:dyDescent="0.3">
      <c r="A382" s="3">
        <v>108</v>
      </c>
      <c r="B382" s="3">
        <v>7</v>
      </c>
      <c r="C382" s="3" t="s">
        <v>2849</v>
      </c>
      <c r="D382" s="4" t="s">
        <v>2850</v>
      </c>
      <c r="E382" s="4" t="s">
        <v>3353</v>
      </c>
      <c r="F382" s="3">
        <v>20</v>
      </c>
      <c r="G382" s="3" t="s">
        <v>2674</v>
      </c>
      <c r="H382" s="3" t="s">
        <v>2669</v>
      </c>
    </row>
    <row r="383" spans="1:8" customFormat="1" ht="16.149999999999999" hidden="1" x14ac:dyDescent="0.3">
      <c r="A383" s="3">
        <v>108</v>
      </c>
      <c r="B383" s="3">
        <v>7</v>
      </c>
      <c r="C383" s="3" t="s">
        <v>2849</v>
      </c>
      <c r="D383" s="4" t="s">
        <v>2929</v>
      </c>
      <c r="E383" s="4" t="s">
        <v>3446</v>
      </c>
      <c r="F383" s="3">
        <v>10</v>
      </c>
      <c r="G383" s="3" t="s">
        <v>2674</v>
      </c>
      <c r="H383" s="3" t="s">
        <v>2669</v>
      </c>
    </row>
    <row r="384" spans="1:8" x14ac:dyDescent="0.25">
      <c r="A384" s="9">
        <v>108</v>
      </c>
      <c r="B384" s="9">
        <v>7</v>
      </c>
      <c r="C384" s="9" t="s">
        <v>2849</v>
      </c>
      <c r="D384" s="7" t="s">
        <v>2903</v>
      </c>
      <c r="E384" s="7" t="s">
        <v>3427</v>
      </c>
      <c r="F384" s="9">
        <v>20</v>
      </c>
      <c r="G384" s="9" t="s">
        <v>2674</v>
      </c>
      <c r="H384" s="9" t="s">
        <v>2669</v>
      </c>
    </row>
    <row r="385" spans="1:8" customFormat="1" ht="16.149999999999999" hidden="1" x14ac:dyDescent="0.3">
      <c r="A385" s="3">
        <v>108</v>
      </c>
      <c r="B385" s="3">
        <v>7</v>
      </c>
      <c r="C385" s="3" t="s">
        <v>2849</v>
      </c>
      <c r="D385" s="4" t="s">
        <v>2894</v>
      </c>
      <c r="E385" s="4" t="s">
        <v>3423</v>
      </c>
      <c r="F385" s="3">
        <v>50</v>
      </c>
      <c r="G385" s="3" t="s">
        <v>2674</v>
      </c>
      <c r="H385" s="3" t="s">
        <v>2669</v>
      </c>
    </row>
    <row r="386" spans="1:8" customFormat="1" ht="16.149999999999999" hidden="1" x14ac:dyDescent="0.3">
      <c r="A386" s="3">
        <v>108</v>
      </c>
      <c r="B386" s="3">
        <v>7</v>
      </c>
      <c r="C386" s="3" t="s">
        <v>2849</v>
      </c>
      <c r="D386" s="6" t="s">
        <v>2880</v>
      </c>
      <c r="E386" s="4" t="s">
        <v>3413</v>
      </c>
      <c r="F386" s="3">
        <v>50</v>
      </c>
      <c r="G386" s="3" t="s">
        <v>2674</v>
      </c>
      <c r="H386" s="3" t="s">
        <v>2669</v>
      </c>
    </row>
    <row r="387" spans="1:8" customFormat="1" ht="16.149999999999999" hidden="1" x14ac:dyDescent="0.3">
      <c r="A387" s="3">
        <v>108</v>
      </c>
      <c r="B387" s="3">
        <v>7</v>
      </c>
      <c r="C387" s="3" t="s">
        <v>2849</v>
      </c>
      <c r="D387" s="4" t="s">
        <v>2923</v>
      </c>
      <c r="E387" s="4" t="s">
        <v>1154</v>
      </c>
      <c r="F387" s="3">
        <v>20</v>
      </c>
      <c r="G387" s="3" t="s">
        <v>2674</v>
      </c>
      <c r="H387" s="3" t="s">
        <v>2669</v>
      </c>
    </row>
    <row r="388" spans="1:8" customFormat="1" ht="16.149999999999999" hidden="1" x14ac:dyDescent="0.3">
      <c r="A388" s="3">
        <v>108</v>
      </c>
      <c r="B388" s="3">
        <v>7</v>
      </c>
      <c r="C388" s="3" t="s">
        <v>2849</v>
      </c>
      <c r="D388" s="4" t="s">
        <v>2874</v>
      </c>
      <c r="E388" s="4" t="s">
        <v>3409</v>
      </c>
      <c r="F388" s="3">
        <v>20</v>
      </c>
      <c r="G388" s="3" t="s">
        <v>2674</v>
      </c>
      <c r="H388" s="3" t="s">
        <v>2669</v>
      </c>
    </row>
    <row r="389" spans="1:8" customFormat="1" ht="16.149999999999999" hidden="1" x14ac:dyDescent="0.3">
      <c r="A389" s="3">
        <v>108</v>
      </c>
      <c r="B389" s="3">
        <v>7</v>
      </c>
      <c r="C389" s="3" t="s">
        <v>2849</v>
      </c>
      <c r="D389" s="4" t="s">
        <v>2924</v>
      </c>
      <c r="E389" s="4" t="s">
        <v>1159</v>
      </c>
      <c r="F389" s="3">
        <v>30</v>
      </c>
      <c r="G389" s="3" t="s">
        <v>2674</v>
      </c>
      <c r="H389" s="3" t="s">
        <v>2669</v>
      </c>
    </row>
    <row r="390" spans="1:8" customFormat="1" ht="16.149999999999999" hidden="1" x14ac:dyDescent="0.3">
      <c r="A390" s="3">
        <v>108</v>
      </c>
      <c r="B390" s="3">
        <v>7</v>
      </c>
      <c r="C390" s="3" t="s">
        <v>2849</v>
      </c>
      <c r="D390" s="4" t="s">
        <v>2854</v>
      </c>
      <c r="E390" s="4" t="s">
        <v>753</v>
      </c>
      <c r="F390" s="3">
        <v>12.975</v>
      </c>
      <c r="G390" s="3" t="s">
        <v>2674</v>
      </c>
      <c r="H390" s="3" t="s">
        <v>2669</v>
      </c>
    </row>
    <row r="391" spans="1:8" customFormat="1" ht="16.149999999999999" hidden="1" x14ac:dyDescent="0.3">
      <c r="A391" s="3">
        <v>108</v>
      </c>
      <c r="B391" s="3">
        <v>7</v>
      </c>
      <c r="C391" s="3" t="s">
        <v>2849</v>
      </c>
      <c r="D391" s="4" t="s">
        <v>2911</v>
      </c>
      <c r="E391" s="4" t="s">
        <v>3433</v>
      </c>
      <c r="F391" s="3">
        <v>30</v>
      </c>
      <c r="G391" s="3" t="s">
        <v>2674</v>
      </c>
      <c r="H391" s="3" t="s">
        <v>2669</v>
      </c>
    </row>
    <row r="392" spans="1:8" x14ac:dyDescent="0.25">
      <c r="A392" s="9">
        <v>108</v>
      </c>
      <c r="B392" s="9">
        <v>7</v>
      </c>
      <c r="C392" s="9" t="s">
        <v>2849</v>
      </c>
      <c r="D392" s="7" t="s">
        <v>2915</v>
      </c>
      <c r="E392" s="7" t="s">
        <v>3436</v>
      </c>
      <c r="F392" s="9">
        <v>20</v>
      </c>
      <c r="G392" s="9" t="s">
        <v>2674</v>
      </c>
      <c r="H392" s="9" t="s">
        <v>2669</v>
      </c>
    </row>
    <row r="393" spans="1:8" customFormat="1" ht="16.149999999999999" hidden="1" x14ac:dyDescent="0.3">
      <c r="A393" s="3">
        <v>108</v>
      </c>
      <c r="B393" s="3">
        <v>7</v>
      </c>
      <c r="C393" s="3" t="s">
        <v>2849</v>
      </c>
      <c r="D393" s="4" t="s">
        <v>2877</v>
      </c>
      <c r="E393" s="4" t="s">
        <v>880</v>
      </c>
      <c r="F393" s="3">
        <v>20</v>
      </c>
      <c r="G393" s="3" t="s">
        <v>2674</v>
      </c>
      <c r="H393" s="3" t="s">
        <v>2669</v>
      </c>
    </row>
    <row r="394" spans="1:8" customFormat="1" ht="16.149999999999999" hidden="1" x14ac:dyDescent="0.3">
      <c r="A394" s="3">
        <v>108</v>
      </c>
      <c r="B394" s="3">
        <v>7</v>
      </c>
      <c r="C394" s="3" t="s">
        <v>2849</v>
      </c>
      <c r="D394" s="4" t="s">
        <v>2877</v>
      </c>
      <c r="E394" s="4" t="s">
        <v>910</v>
      </c>
      <c r="F394" s="3">
        <v>30</v>
      </c>
      <c r="G394" s="3" t="s">
        <v>2674</v>
      </c>
      <c r="H394" s="3" t="s">
        <v>2669</v>
      </c>
    </row>
    <row r="395" spans="1:8" x14ac:dyDescent="0.25">
      <c r="A395" s="9">
        <v>108</v>
      </c>
      <c r="B395" s="9">
        <v>7</v>
      </c>
      <c r="C395" s="9" t="s">
        <v>2849</v>
      </c>
      <c r="D395" s="7" t="s">
        <v>2899</v>
      </c>
      <c r="E395" s="7" t="s">
        <v>1012</v>
      </c>
      <c r="F395" s="9">
        <v>20</v>
      </c>
      <c r="G395" s="9" t="s">
        <v>2674</v>
      </c>
      <c r="H395" s="9" t="s">
        <v>2669</v>
      </c>
    </row>
    <row r="396" spans="1:8" x14ac:dyDescent="0.25">
      <c r="A396" s="9">
        <v>108</v>
      </c>
      <c r="B396" s="9">
        <v>7</v>
      </c>
      <c r="C396" s="9" t="s">
        <v>2849</v>
      </c>
      <c r="D396" s="7" t="s">
        <v>3374</v>
      </c>
      <c r="E396" s="7" t="s">
        <v>1002</v>
      </c>
      <c r="F396" s="9">
        <v>20</v>
      </c>
      <c r="G396" s="9" t="s">
        <v>2674</v>
      </c>
      <c r="H396" s="9" t="s">
        <v>2669</v>
      </c>
    </row>
    <row r="397" spans="1:8" x14ac:dyDescent="0.25">
      <c r="A397" s="9">
        <v>108</v>
      </c>
      <c r="B397" s="9">
        <v>7</v>
      </c>
      <c r="C397" s="9" t="s">
        <v>2849</v>
      </c>
      <c r="D397" s="7" t="s">
        <v>2932</v>
      </c>
      <c r="E397" s="7" t="s">
        <v>1199</v>
      </c>
      <c r="F397" s="9">
        <v>20</v>
      </c>
      <c r="G397" s="9" t="s">
        <v>2674</v>
      </c>
      <c r="H397" s="9" t="s">
        <v>2669</v>
      </c>
    </row>
    <row r="398" spans="1:8" customFormat="1" ht="16.149999999999999" hidden="1" x14ac:dyDescent="0.3">
      <c r="A398" s="3">
        <v>108</v>
      </c>
      <c r="B398" s="3">
        <v>7</v>
      </c>
      <c r="C398" s="3" t="s">
        <v>2849</v>
      </c>
      <c r="D398" s="4" t="s">
        <v>2888</v>
      </c>
      <c r="E398" s="4" t="s">
        <v>3415</v>
      </c>
      <c r="F398" s="3">
        <v>30</v>
      </c>
      <c r="G398" s="3" t="s">
        <v>2674</v>
      </c>
      <c r="H398" s="3" t="s">
        <v>2669</v>
      </c>
    </row>
    <row r="399" spans="1:8" customFormat="1" ht="16.149999999999999" hidden="1" x14ac:dyDescent="0.3">
      <c r="A399" s="3">
        <v>108</v>
      </c>
      <c r="B399" s="3">
        <v>7</v>
      </c>
      <c r="C399" s="3" t="s">
        <v>2849</v>
      </c>
      <c r="D399" s="4" t="s">
        <v>2905</v>
      </c>
      <c r="E399" s="4" t="s">
        <v>3432</v>
      </c>
      <c r="F399" s="3">
        <v>20</v>
      </c>
      <c r="G399" s="3" t="s">
        <v>2674</v>
      </c>
      <c r="H399" s="3" t="s">
        <v>2669</v>
      </c>
    </row>
    <row r="400" spans="1:8" x14ac:dyDescent="0.25">
      <c r="A400" s="9">
        <v>108</v>
      </c>
      <c r="B400" s="9">
        <v>7</v>
      </c>
      <c r="C400" s="9" t="s">
        <v>2849</v>
      </c>
      <c r="D400" s="7" t="s">
        <v>2858</v>
      </c>
      <c r="E400" s="7" t="s">
        <v>777</v>
      </c>
      <c r="F400" s="9">
        <v>50</v>
      </c>
      <c r="G400" s="9" t="s">
        <v>2674</v>
      </c>
      <c r="H400" s="9" t="s">
        <v>2669</v>
      </c>
    </row>
    <row r="401" spans="1:8" x14ac:dyDescent="0.25">
      <c r="A401" s="9">
        <v>108</v>
      </c>
      <c r="B401" s="9">
        <v>7</v>
      </c>
      <c r="C401" s="9" t="s">
        <v>2849</v>
      </c>
      <c r="D401" s="7" t="s">
        <v>2858</v>
      </c>
      <c r="E401" s="7" t="s">
        <v>787</v>
      </c>
      <c r="F401" s="9">
        <v>50</v>
      </c>
      <c r="G401" s="9" t="s">
        <v>2674</v>
      </c>
      <c r="H401" s="9" t="s">
        <v>2669</v>
      </c>
    </row>
    <row r="402" spans="1:8" customFormat="1" ht="16.149999999999999" hidden="1" x14ac:dyDescent="0.3">
      <c r="A402" s="3">
        <v>108</v>
      </c>
      <c r="B402" s="3">
        <v>7</v>
      </c>
      <c r="C402" s="3" t="s">
        <v>2849</v>
      </c>
      <c r="D402" s="4" t="s">
        <v>2904</v>
      </c>
      <c r="E402" s="4" t="s">
        <v>1039</v>
      </c>
      <c r="F402" s="3">
        <v>20</v>
      </c>
      <c r="G402" s="3" t="s">
        <v>2674</v>
      </c>
      <c r="H402" s="3" t="s">
        <v>2669</v>
      </c>
    </row>
    <row r="403" spans="1:8" customFormat="1" ht="16.149999999999999" hidden="1" x14ac:dyDescent="0.3">
      <c r="A403" s="3">
        <v>108</v>
      </c>
      <c r="B403" s="3">
        <v>7</v>
      </c>
      <c r="C403" s="3" t="s">
        <v>2849</v>
      </c>
      <c r="D403" s="4" t="s">
        <v>2914</v>
      </c>
      <c r="E403" s="4" t="s">
        <v>3435</v>
      </c>
      <c r="F403" s="3">
        <v>15</v>
      </c>
      <c r="G403" s="3" t="s">
        <v>2674</v>
      </c>
      <c r="H403" s="3" t="s">
        <v>2669</v>
      </c>
    </row>
    <row r="404" spans="1:8" customFormat="1" ht="16.149999999999999" hidden="1" x14ac:dyDescent="0.3">
      <c r="A404" s="3">
        <v>108</v>
      </c>
      <c r="B404" s="3">
        <v>7</v>
      </c>
      <c r="C404" s="3" t="s">
        <v>2849</v>
      </c>
      <c r="D404" s="4" t="s">
        <v>2873</v>
      </c>
      <c r="E404" s="4" t="s">
        <v>3407</v>
      </c>
      <c r="F404" s="3">
        <v>10</v>
      </c>
      <c r="G404" s="3" t="s">
        <v>2674</v>
      </c>
      <c r="H404" s="3" t="s">
        <v>2669</v>
      </c>
    </row>
    <row r="405" spans="1:8" customFormat="1" ht="16.149999999999999" hidden="1" x14ac:dyDescent="0.3">
      <c r="A405" s="3">
        <v>108</v>
      </c>
      <c r="B405" s="3">
        <v>7</v>
      </c>
      <c r="C405" s="3" t="s">
        <v>2849</v>
      </c>
      <c r="D405" s="4" t="s">
        <v>2878</v>
      </c>
      <c r="E405" s="4" t="s">
        <v>3411</v>
      </c>
      <c r="F405" s="3">
        <v>15</v>
      </c>
      <c r="G405" s="3" t="s">
        <v>2674</v>
      </c>
      <c r="H405" s="3" t="s">
        <v>2669</v>
      </c>
    </row>
    <row r="406" spans="1:8" customFormat="1" ht="16.149999999999999" hidden="1" x14ac:dyDescent="0.3">
      <c r="A406" s="3">
        <v>108</v>
      </c>
      <c r="B406" s="3">
        <v>7</v>
      </c>
      <c r="C406" s="3" t="s">
        <v>2849</v>
      </c>
      <c r="D406" s="4" t="s">
        <v>2916</v>
      </c>
      <c r="E406" s="4" t="s">
        <v>3437</v>
      </c>
      <c r="F406" s="3">
        <v>30</v>
      </c>
      <c r="G406" s="3" t="s">
        <v>2674</v>
      </c>
      <c r="H406" s="3" t="s">
        <v>2669</v>
      </c>
    </row>
    <row r="407" spans="1:8" customFormat="1" ht="16.149999999999999" hidden="1" x14ac:dyDescent="0.3">
      <c r="A407" s="3">
        <v>108</v>
      </c>
      <c r="B407" s="3">
        <v>7</v>
      </c>
      <c r="C407" s="3" t="s">
        <v>2849</v>
      </c>
      <c r="D407" s="4" t="s">
        <v>2868</v>
      </c>
      <c r="E407" s="4" t="s">
        <v>3404</v>
      </c>
      <c r="F407" s="3">
        <v>15</v>
      </c>
      <c r="G407" s="3" t="s">
        <v>2674</v>
      </c>
      <c r="H407" s="3" t="s">
        <v>2669</v>
      </c>
    </row>
    <row r="408" spans="1:8" customFormat="1" ht="16.149999999999999" hidden="1" x14ac:dyDescent="0.3">
      <c r="A408" s="3">
        <v>108</v>
      </c>
      <c r="B408" s="3">
        <v>7</v>
      </c>
      <c r="C408" s="3" t="s">
        <v>2849</v>
      </c>
      <c r="D408" s="4" t="s">
        <v>2871</v>
      </c>
      <c r="E408" s="4" t="s">
        <v>3405</v>
      </c>
      <c r="F408" s="3">
        <v>15</v>
      </c>
      <c r="G408" s="3" t="s">
        <v>2674</v>
      </c>
      <c r="H408" s="3" t="s">
        <v>2669</v>
      </c>
    </row>
    <row r="409" spans="1:8" customFormat="1" ht="16.149999999999999" hidden="1" x14ac:dyDescent="0.3">
      <c r="A409" s="3">
        <v>108</v>
      </c>
      <c r="B409" s="3">
        <v>7</v>
      </c>
      <c r="C409" s="3" t="s">
        <v>2849</v>
      </c>
      <c r="D409" s="4" t="s">
        <v>2928</v>
      </c>
      <c r="E409" s="4" t="s">
        <v>1181</v>
      </c>
      <c r="F409" s="3">
        <v>10</v>
      </c>
      <c r="G409" s="3" t="s">
        <v>2674</v>
      </c>
      <c r="H409" s="3" t="s">
        <v>2669</v>
      </c>
    </row>
    <row r="410" spans="1:8" customFormat="1" ht="16.149999999999999" hidden="1" x14ac:dyDescent="0.3">
      <c r="A410" s="3">
        <v>108</v>
      </c>
      <c r="B410" s="3">
        <v>7</v>
      </c>
      <c r="C410" s="3" t="s">
        <v>2849</v>
      </c>
      <c r="D410" s="4" t="s">
        <v>2860</v>
      </c>
      <c r="E410" s="4" t="s">
        <v>790</v>
      </c>
      <c r="F410" s="3">
        <v>50</v>
      </c>
      <c r="G410" s="3" t="s">
        <v>2674</v>
      </c>
      <c r="H410" s="3" t="s">
        <v>2669</v>
      </c>
    </row>
    <row r="411" spans="1:8" customFormat="1" ht="16.149999999999999" hidden="1" x14ac:dyDescent="0.3">
      <c r="A411" s="3">
        <v>108</v>
      </c>
      <c r="B411" s="3">
        <v>7</v>
      </c>
      <c r="C411" s="3" t="s">
        <v>2849</v>
      </c>
      <c r="D411" s="4" t="s">
        <v>2860</v>
      </c>
      <c r="E411" s="4" t="s">
        <v>1074</v>
      </c>
      <c r="F411" s="3">
        <v>50</v>
      </c>
      <c r="G411" s="3" t="s">
        <v>2674</v>
      </c>
      <c r="H411" s="3" t="s">
        <v>2669</v>
      </c>
    </row>
    <row r="412" spans="1:8" customFormat="1" ht="16.149999999999999" hidden="1" x14ac:dyDescent="0.3">
      <c r="A412" s="3">
        <v>108</v>
      </c>
      <c r="B412" s="3">
        <v>7</v>
      </c>
      <c r="C412" s="3" t="s">
        <v>2849</v>
      </c>
      <c r="D412" s="4" t="s">
        <v>2926</v>
      </c>
      <c r="E412" s="4" t="s">
        <v>3590</v>
      </c>
      <c r="F412" s="3">
        <v>10</v>
      </c>
      <c r="G412" s="3" t="s">
        <v>2674</v>
      </c>
      <c r="H412" s="3" t="s">
        <v>2669</v>
      </c>
    </row>
    <row r="413" spans="1:8" customFormat="1" ht="16.149999999999999" hidden="1" x14ac:dyDescent="0.3">
      <c r="A413" s="3">
        <v>108</v>
      </c>
      <c r="B413" s="3">
        <v>7</v>
      </c>
      <c r="C413" s="3" t="s">
        <v>2849</v>
      </c>
      <c r="D413" s="4" t="s">
        <v>2917</v>
      </c>
      <c r="E413" s="4" t="s">
        <v>3438</v>
      </c>
      <c r="F413" s="3">
        <v>30</v>
      </c>
      <c r="G413" s="3" t="s">
        <v>2674</v>
      </c>
      <c r="H413" s="3" t="s">
        <v>3122</v>
      </c>
    </row>
    <row r="414" spans="1:8" x14ac:dyDescent="0.25">
      <c r="A414" s="9">
        <v>108</v>
      </c>
      <c r="B414" s="9">
        <v>7</v>
      </c>
      <c r="C414" s="9" t="s">
        <v>2849</v>
      </c>
      <c r="D414" s="7" t="s">
        <v>2927</v>
      </c>
      <c r="E414" s="7" t="s">
        <v>3444</v>
      </c>
      <c r="F414" s="9">
        <v>30</v>
      </c>
      <c r="G414" s="9" t="s">
        <v>2674</v>
      </c>
      <c r="H414" s="9" t="s">
        <v>3122</v>
      </c>
    </row>
    <row r="415" spans="1:8" x14ac:dyDescent="0.25">
      <c r="A415" s="9">
        <v>108</v>
      </c>
      <c r="B415" s="9">
        <v>7</v>
      </c>
      <c r="C415" s="9" t="s">
        <v>2849</v>
      </c>
      <c r="D415" s="7" t="s">
        <v>2866</v>
      </c>
      <c r="E415" s="7" t="s">
        <v>3402</v>
      </c>
      <c r="F415" s="9">
        <v>25</v>
      </c>
      <c r="G415" s="9" t="s">
        <v>2674</v>
      </c>
      <c r="H415" s="9" t="s">
        <v>3122</v>
      </c>
    </row>
    <row r="416" spans="1:8" customFormat="1" ht="16.149999999999999" hidden="1" x14ac:dyDescent="0.3">
      <c r="A416" s="3">
        <v>108</v>
      </c>
      <c r="B416" s="3">
        <v>7</v>
      </c>
      <c r="C416" s="3" t="s">
        <v>2849</v>
      </c>
      <c r="D416" s="4" t="s">
        <v>1091</v>
      </c>
      <c r="E416" s="4" t="s">
        <v>3434</v>
      </c>
      <c r="F416" s="3">
        <v>80</v>
      </c>
      <c r="G416" s="3" t="s">
        <v>2674</v>
      </c>
      <c r="H416" s="3" t="s">
        <v>2669</v>
      </c>
    </row>
    <row r="417" spans="1:8" customFormat="1" ht="16.149999999999999" hidden="1" x14ac:dyDescent="0.3">
      <c r="A417" s="3">
        <v>108</v>
      </c>
      <c r="B417" s="3">
        <v>7</v>
      </c>
      <c r="C417" s="3" t="s">
        <v>2849</v>
      </c>
      <c r="D417" s="4" t="s">
        <v>1091</v>
      </c>
      <c r="E417" s="4" t="s">
        <v>1092</v>
      </c>
      <c r="F417" s="3">
        <v>46.095999999999997</v>
      </c>
      <c r="G417" s="3" t="s">
        <v>2674</v>
      </c>
      <c r="H417" s="3" t="s">
        <v>2669</v>
      </c>
    </row>
    <row r="418" spans="1:8" customFormat="1" ht="16.149999999999999" hidden="1" x14ac:dyDescent="0.3">
      <c r="A418" s="3">
        <v>108</v>
      </c>
      <c r="B418" s="3">
        <v>7</v>
      </c>
      <c r="C418" s="3" t="s">
        <v>2849</v>
      </c>
      <c r="D418" s="4" t="s">
        <v>1091</v>
      </c>
      <c r="E418" s="4" t="s">
        <v>3445</v>
      </c>
      <c r="F418" s="3">
        <v>30</v>
      </c>
      <c r="G418" s="3" t="s">
        <v>2674</v>
      </c>
      <c r="H418" s="3" t="s">
        <v>2669</v>
      </c>
    </row>
    <row r="419" spans="1:8" customFormat="1" ht="16.149999999999999" hidden="1" x14ac:dyDescent="0.3">
      <c r="A419" s="3">
        <v>108</v>
      </c>
      <c r="B419" s="3">
        <v>7</v>
      </c>
      <c r="C419" s="3" t="s">
        <v>2849</v>
      </c>
      <c r="D419" s="4" t="s">
        <v>2935</v>
      </c>
      <c r="E419" s="4" t="s">
        <v>3590</v>
      </c>
      <c r="F419" s="3">
        <v>10</v>
      </c>
      <c r="G419" s="3" t="s">
        <v>2674</v>
      </c>
      <c r="H419" s="3" t="s">
        <v>2669</v>
      </c>
    </row>
    <row r="420" spans="1:8" customFormat="1" ht="16.149999999999999" hidden="1" x14ac:dyDescent="0.3">
      <c r="A420" s="3">
        <v>108</v>
      </c>
      <c r="B420" s="3">
        <v>7</v>
      </c>
      <c r="C420" s="3" t="s">
        <v>2949</v>
      </c>
      <c r="D420" s="4" t="s">
        <v>3375</v>
      </c>
      <c r="E420" s="4" t="s">
        <v>1326</v>
      </c>
      <c r="F420" s="3">
        <v>10</v>
      </c>
      <c r="G420" s="3" t="s">
        <v>2674</v>
      </c>
      <c r="H420" s="3" t="s">
        <v>3136</v>
      </c>
    </row>
    <row r="421" spans="1:8" x14ac:dyDescent="0.25">
      <c r="A421" s="9">
        <v>108</v>
      </c>
      <c r="B421" s="9">
        <v>7</v>
      </c>
      <c r="C421" s="9" t="s">
        <v>2949</v>
      </c>
      <c r="D421" s="7" t="s">
        <v>2953</v>
      </c>
      <c r="E421" s="7" t="s">
        <v>3461</v>
      </c>
      <c r="F421" s="9">
        <v>30</v>
      </c>
      <c r="G421" s="9" t="s">
        <v>2674</v>
      </c>
      <c r="H421" s="9" t="s">
        <v>2670</v>
      </c>
    </row>
    <row r="422" spans="1:8" x14ac:dyDescent="0.25">
      <c r="A422" s="9">
        <v>108</v>
      </c>
      <c r="B422" s="9">
        <v>7</v>
      </c>
      <c r="C422" s="9" t="s">
        <v>2949</v>
      </c>
      <c r="D422" s="7" t="s">
        <v>2951</v>
      </c>
      <c r="E422" s="7" t="s">
        <v>1321</v>
      </c>
      <c r="F422" s="9">
        <v>10</v>
      </c>
      <c r="G422" s="9" t="s">
        <v>2674</v>
      </c>
      <c r="H422" s="9" t="s">
        <v>2670</v>
      </c>
    </row>
    <row r="423" spans="1:8" x14ac:dyDescent="0.25">
      <c r="A423" s="9">
        <v>108</v>
      </c>
      <c r="B423" s="9">
        <v>7</v>
      </c>
      <c r="C423" s="9" t="s">
        <v>2949</v>
      </c>
      <c r="D423" s="7" t="s">
        <v>2950</v>
      </c>
      <c r="E423" s="7" t="s">
        <v>1316</v>
      </c>
      <c r="F423" s="9">
        <v>10</v>
      </c>
      <c r="G423" s="9" t="s">
        <v>2674</v>
      </c>
      <c r="H423" s="9" t="s">
        <v>2670</v>
      </c>
    </row>
    <row r="424" spans="1:8" x14ac:dyDescent="0.25">
      <c r="A424" s="9">
        <v>108</v>
      </c>
      <c r="B424" s="9">
        <v>7</v>
      </c>
      <c r="C424" s="9" t="s">
        <v>2949</v>
      </c>
      <c r="D424" s="7" t="s">
        <v>2952</v>
      </c>
      <c r="E424" s="7" t="s">
        <v>1332</v>
      </c>
      <c r="F424" s="9">
        <v>10</v>
      </c>
      <c r="G424" s="9" t="s">
        <v>2674</v>
      </c>
      <c r="H424" s="9" t="s">
        <v>2670</v>
      </c>
    </row>
    <row r="425" spans="1:8" x14ac:dyDescent="0.25">
      <c r="A425" s="9">
        <v>108</v>
      </c>
      <c r="B425" s="9">
        <v>7</v>
      </c>
      <c r="C425" s="9" t="s">
        <v>3079</v>
      </c>
      <c r="D425" s="7" t="s">
        <v>3088</v>
      </c>
      <c r="E425" s="7" t="s">
        <v>3658</v>
      </c>
      <c r="F425" s="9">
        <v>10</v>
      </c>
      <c r="G425" s="9" t="s">
        <v>2674</v>
      </c>
      <c r="H425" s="9" t="s">
        <v>3125</v>
      </c>
    </row>
    <row r="426" spans="1:8" customFormat="1" ht="16.149999999999999" hidden="1" x14ac:dyDescent="0.3">
      <c r="A426" s="3">
        <v>108</v>
      </c>
      <c r="B426" s="3">
        <v>7</v>
      </c>
      <c r="C426" s="3" t="s">
        <v>3079</v>
      </c>
      <c r="D426" s="4" t="s">
        <v>3368</v>
      </c>
      <c r="E426" s="4" t="s">
        <v>3530</v>
      </c>
      <c r="F426" s="3">
        <v>100</v>
      </c>
      <c r="G426" s="3" t="s">
        <v>2674</v>
      </c>
      <c r="H426" s="3" t="s">
        <v>3125</v>
      </c>
    </row>
    <row r="427" spans="1:8" customFormat="1" ht="16.149999999999999" hidden="1" x14ac:dyDescent="0.3">
      <c r="A427" s="3">
        <v>108</v>
      </c>
      <c r="B427" s="3">
        <v>7</v>
      </c>
      <c r="C427" s="3" t="s">
        <v>3079</v>
      </c>
      <c r="D427" s="4" t="s">
        <v>3368</v>
      </c>
      <c r="E427" s="4" t="s">
        <v>3536</v>
      </c>
      <c r="F427" s="3">
        <v>96.5</v>
      </c>
      <c r="G427" s="3" t="s">
        <v>2674</v>
      </c>
      <c r="H427" s="3" t="s">
        <v>3125</v>
      </c>
    </row>
    <row r="428" spans="1:8" customFormat="1" ht="16.149999999999999" hidden="1" x14ac:dyDescent="0.3">
      <c r="A428" s="3">
        <v>108</v>
      </c>
      <c r="B428" s="3">
        <v>7</v>
      </c>
      <c r="C428" s="3" t="s">
        <v>3079</v>
      </c>
      <c r="D428" s="4" t="s">
        <v>3084</v>
      </c>
      <c r="E428" s="4" t="s">
        <v>3529</v>
      </c>
      <c r="F428" s="3">
        <v>40</v>
      </c>
      <c r="G428" s="3" t="s">
        <v>2674</v>
      </c>
      <c r="H428" s="3" t="s">
        <v>3125</v>
      </c>
    </row>
    <row r="429" spans="1:8" customFormat="1" ht="16.149999999999999" hidden="1" x14ac:dyDescent="0.3">
      <c r="A429" s="3">
        <v>108</v>
      </c>
      <c r="B429" s="3">
        <v>7</v>
      </c>
      <c r="C429" s="3" t="s">
        <v>3079</v>
      </c>
      <c r="D429" s="4" t="s">
        <v>3084</v>
      </c>
      <c r="E429" s="4" t="s">
        <v>2351</v>
      </c>
      <c r="F429" s="3">
        <v>50</v>
      </c>
      <c r="G429" s="3" t="s">
        <v>2674</v>
      </c>
      <c r="H429" s="3" t="s">
        <v>3125</v>
      </c>
    </row>
    <row r="430" spans="1:8" customFormat="1" ht="16.149999999999999" hidden="1" x14ac:dyDescent="0.3">
      <c r="A430" s="3">
        <v>108</v>
      </c>
      <c r="B430" s="3">
        <v>7</v>
      </c>
      <c r="C430" s="3" t="s">
        <v>3079</v>
      </c>
      <c r="D430" s="4" t="s">
        <v>3080</v>
      </c>
      <c r="E430" s="4" t="s">
        <v>3527</v>
      </c>
      <c r="F430" s="3">
        <v>100</v>
      </c>
      <c r="G430" s="3" t="s">
        <v>2674</v>
      </c>
      <c r="H430" s="3" t="s">
        <v>3125</v>
      </c>
    </row>
    <row r="431" spans="1:8" customFormat="1" ht="16.149999999999999" hidden="1" x14ac:dyDescent="0.3">
      <c r="A431" s="3">
        <v>108</v>
      </c>
      <c r="B431" s="3">
        <v>7</v>
      </c>
      <c r="C431" s="3" t="s">
        <v>3079</v>
      </c>
      <c r="D431" s="4" t="s">
        <v>3080</v>
      </c>
      <c r="E431" s="4" t="s">
        <v>2366</v>
      </c>
      <c r="F431" s="3">
        <v>100</v>
      </c>
      <c r="G431" s="3" t="s">
        <v>2674</v>
      </c>
      <c r="H431" s="3" t="s">
        <v>3125</v>
      </c>
    </row>
    <row r="432" spans="1:8" customFormat="1" ht="16.149999999999999" hidden="1" x14ac:dyDescent="0.3">
      <c r="A432" s="3">
        <v>108</v>
      </c>
      <c r="B432" s="3">
        <v>7</v>
      </c>
      <c r="C432" s="3" t="s">
        <v>3079</v>
      </c>
      <c r="D432" s="4" t="s">
        <v>3083</v>
      </c>
      <c r="E432" s="4" t="s">
        <v>2336</v>
      </c>
      <c r="F432" s="3">
        <v>30</v>
      </c>
      <c r="G432" s="3" t="s">
        <v>2674</v>
      </c>
      <c r="H432" s="3" t="s">
        <v>3125</v>
      </c>
    </row>
    <row r="433" spans="1:8" ht="33" x14ac:dyDescent="0.25">
      <c r="A433" s="9">
        <v>108</v>
      </c>
      <c r="B433" s="9">
        <v>7</v>
      </c>
      <c r="C433" s="9" t="s">
        <v>3079</v>
      </c>
      <c r="D433" s="7" t="s">
        <v>3089</v>
      </c>
      <c r="E433" s="7" t="s">
        <v>3535</v>
      </c>
      <c r="F433" s="9">
        <v>10</v>
      </c>
      <c r="G433" s="9" t="s">
        <v>2674</v>
      </c>
      <c r="H433" s="9" t="s">
        <v>3138</v>
      </c>
    </row>
    <row r="434" spans="1:8" customFormat="1" ht="16.149999999999999" hidden="1" x14ac:dyDescent="0.3">
      <c r="A434" s="3">
        <v>108</v>
      </c>
      <c r="B434" s="3">
        <v>7</v>
      </c>
      <c r="C434" s="3" t="s">
        <v>3079</v>
      </c>
      <c r="D434" s="4" t="s">
        <v>3081</v>
      </c>
      <c r="E434" s="4" t="s">
        <v>3528</v>
      </c>
      <c r="F434" s="3">
        <v>40</v>
      </c>
      <c r="G434" s="3" t="s">
        <v>2674</v>
      </c>
      <c r="H434" s="3" t="s">
        <v>3125</v>
      </c>
    </row>
    <row r="435" spans="1:8" customFormat="1" ht="16.149999999999999" hidden="1" x14ac:dyDescent="0.3">
      <c r="A435" s="3">
        <v>108</v>
      </c>
      <c r="B435" s="3">
        <v>7</v>
      </c>
      <c r="C435" s="3" t="s">
        <v>3079</v>
      </c>
      <c r="D435" s="4" t="s">
        <v>3081</v>
      </c>
      <c r="E435" s="4" t="s">
        <v>2329</v>
      </c>
      <c r="F435" s="3">
        <v>80</v>
      </c>
      <c r="G435" s="3" t="s">
        <v>2674</v>
      </c>
      <c r="H435" s="3" t="s">
        <v>3125</v>
      </c>
    </row>
    <row r="436" spans="1:8" customFormat="1" ht="16.149999999999999" hidden="1" x14ac:dyDescent="0.3">
      <c r="A436" s="3">
        <v>108</v>
      </c>
      <c r="B436" s="3">
        <v>7</v>
      </c>
      <c r="C436" s="3" t="s">
        <v>3079</v>
      </c>
      <c r="D436" s="4" t="s">
        <v>3081</v>
      </c>
      <c r="E436" s="4" t="s">
        <v>2359</v>
      </c>
      <c r="F436" s="3">
        <v>50</v>
      </c>
      <c r="G436" s="3" t="s">
        <v>2674</v>
      </c>
      <c r="H436" s="3" t="s">
        <v>3125</v>
      </c>
    </row>
    <row r="437" spans="1:8" customFormat="1" ht="16.149999999999999" hidden="1" x14ac:dyDescent="0.3">
      <c r="A437" s="3">
        <v>108</v>
      </c>
      <c r="B437" s="3">
        <v>7</v>
      </c>
      <c r="C437" s="3" t="s">
        <v>3079</v>
      </c>
      <c r="D437" s="4" t="s">
        <v>3081</v>
      </c>
      <c r="E437" s="4" t="s">
        <v>3533</v>
      </c>
      <c r="F437" s="3">
        <v>50</v>
      </c>
      <c r="G437" s="3" t="s">
        <v>2674</v>
      </c>
      <c r="H437" s="3" t="s">
        <v>3125</v>
      </c>
    </row>
    <row r="438" spans="1:8" customFormat="1" ht="16.149999999999999" hidden="1" x14ac:dyDescent="0.3">
      <c r="A438" s="3">
        <v>108</v>
      </c>
      <c r="B438" s="3">
        <v>7</v>
      </c>
      <c r="C438" s="3" t="s">
        <v>3079</v>
      </c>
      <c r="D438" s="4" t="s">
        <v>3081</v>
      </c>
      <c r="E438" s="4" t="s">
        <v>3534</v>
      </c>
      <c r="F438" s="3">
        <v>50</v>
      </c>
      <c r="G438" s="3" t="s">
        <v>2674</v>
      </c>
      <c r="H438" s="3" t="s">
        <v>3125</v>
      </c>
    </row>
    <row r="439" spans="1:8" customFormat="1" ht="16.149999999999999" hidden="1" x14ac:dyDescent="0.3">
      <c r="A439" s="3">
        <v>108</v>
      </c>
      <c r="B439" s="3">
        <v>7</v>
      </c>
      <c r="C439" s="3" t="s">
        <v>3079</v>
      </c>
      <c r="D439" s="4" t="s">
        <v>3086</v>
      </c>
      <c r="E439" s="4" t="s">
        <v>3532</v>
      </c>
      <c r="F439" s="3">
        <v>100</v>
      </c>
      <c r="G439" s="3" t="s">
        <v>2674</v>
      </c>
      <c r="H439" s="3" t="s">
        <v>3125</v>
      </c>
    </row>
    <row r="440" spans="1:8" customFormat="1" ht="16.149999999999999" hidden="1" x14ac:dyDescent="0.3">
      <c r="A440" s="3">
        <v>108</v>
      </c>
      <c r="B440" s="3">
        <v>7</v>
      </c>
      <c r="C440" s="3" t="s">
        <v>3079</v>
      </c>
      <c r="D440" s="4" t="s">
        <v>3085</v>
      </c>
      <c r="E440" s="4" t="s">
        <v>3531</v>
      </c>
      <c r="F440" s="3">
        <v>10</v>
      </c>
      <c r="G440" s="3" t="s">
        <v>2674</v>
      </c>
      <c r="H440" s="3" t="s">
        <v>3125</v>
      </c>
    </row>
    <row r="441" spans="1:8" customFormat="1" ht="16.149999999999999" hidden="1" x14ac:dyDescent="0.3">
      <c r="A441" s="3">
        <v>108</v>
      </c>
      <c r="B441" s="3">
        <v>7</v>
      </c>
      <c r="C441" s="3" t="s">
        <v>3079</v>
      </c>
      <c r="D441" s="4" t="s">
        <v>3087</v>
      </c>
      <c r="E441" s="4" t="s">
        <v>2370</v>
      </c>
      <c r="F441" s="3">
        <v>40</v>
      </c>
      <c r="G441" s="3" t="s">
        <v>2674</v>
      </c>
      <c r="H441" s="3" t="s">
        <v>3125</v>
      </c>
    </row>
    <row r="442" spans="1:8" customFormat="1" ht="16.149999999999999" hidden="1" x14ac:dyDescent="0.3">
      <c r="A442" s="3">
        <v>108</v>
      </c>
      <c r="B442" s="3">
        <v>7</v>
      </c>
      <c r="C442" s="3" t="s">
        <v>3079</v>
      </c>
      <c r="D442" s="4" t="s">
        <v>3082</v>
      </c>
      <c r="E442" s="4" t="s">
        <v>2331</v>
      </c>
      <c r="F442" s="3">
        <v>50</v>
      </c>
      <c r="G442" s="3" t="s">
        <v>2674</v>
      </c>
      <c r="H442" s="3" t="s">
        <v>3125</v>
      </c>
    </row>
    <row r="443" spans="1:8" ht="33" x14ac:dyDescent="0.25">
      <c r="A443" s="9">
        <v>108</v>
      </c>
      <c r="B443" s="9">
        <v>7</v>
      </c>
      <c r="C443" s="9" t="s">
        <v>2992</v>
      </c>
      <c r="D443" s="7" t="s">
        <v>2994</v>
      </c>
      <c r="E443" s="7" t="s">
        <v>3488</v>
      </c>
      <c r="F443" s="9">
        <v>20</v>
      </c>
      <c r="G443" s="9" t="s">
        <v>2674</v>
      </c>
      <c r="H443" s="9" t="s">
        <v>2670</v>
      </c>
    </row>
    <row r="444" spans="1:8" customFormat="1" ht="16.149999999999999" hidden="1" x14ac:dyDescent="0.3">
      <c r="A444" s="3">
        <v>108</v>
      </c>
      <c r="B444" s="3">
        <v>7</v>
      </c>
      <c r="C444" s="3" t="s">
        <v>2992</v>
      </c>
      <c r="D444" s="4" t="s">
        <v>3380</v>
      </c>
      <c r="E444" s="4" t="s">
        <v>3486</v>
      </c>
      <c r="F444" s="3">
        <v>30</v>
      </c>
      <c r="G444" s="3" t="s">
        <v>2674</v>
      </c>
      <c r="H444" s="3" t="s">
        <v>3126</v>
      </c>
    </row>
    <row r="445" spans="1:8" x14ac:dyDescent="0.25">
      <c r="A445" s="9">
        <v>108</v>
      </c>
      <c r="B445" s="9">
        <v>7</v>
      </c>
      <c r="C445" s="9" t="s">
        <v>2992</v>
      </c>
      <c r="D445" s="7" t="s">
        <v>2993</v>
      </c>
      <c r="E445" s="7" t="s">
        <v>3487</v>
      </c>
      <c r="F445" s="9">
        <v>20</v>
      </c>
      <c r="G445" s="9" t="s">
        <v>2674</v>
      </c>
      <c r="H445" s="9" t="s">
        <v>3128</v>
      </c>
    </row>
    <row r="446" spans="1:8" x14ac:dyDescent="0.25">
      <c r="A446" s="9">
        <v>108</v>
      </c>
      <c r="B446" s="9">
        <v>7</v>
      </c>
      <c r="C446" s="9" t="s">
        <v>2954</v>
      </c>
      <c r="D446" s="7" t="s">
        <v>3669</v>
      </c>
      <c r="E446" s="7" t="s">
        <v>3672</v>
      </c>
      <c r="F446" s="9">
        <v>3</v>
      </c>
      <c r="G446" s="9" t="s">
        <v>2674</v>
      </c>
      <c r="H446" s="9" t="s">
        <v>3131</v>
      </c>
    </row>
    <row r="447" spans="1:8" x14ac:dyDescent="0.25">
      <c r="A447" s="9">
        <v>108</v>
      </c>
      <c r="B447" s="9">
        <v>7</v>
      </c>
      <c r="C447" s="9" t="s">
        <v>2954</v>
      </c>
      <c r="D447" s="7" t="s">
        <v>3670</v>
      </c>
      <c r="E447" s="7" t="s">
        <v>3658</v>
      </c>
      <c r="F447" s="9">
        <v>3</v>
      </c>
      <c r="G447" s="9" t="s">
        <v>2674</v>
      </c>
      <c r="H447" s="9" t="s">
        <v>3131</v>
      </c>
    </row>
    <row r="448" spans="1:8" x14ac:dyDescent="0.25">
      <c r="A448" s="9">
        <v>108</v>
      </c>
      <c r="B448" s="9">
        <v>7</v>
      </c>
      <c r="C448" s="9" t="s">
        <v>2954</v>
      </c>
      <c r="D448" s="7" t="s">
        <v>3671</v>
      </c>
      <c r="E448" s="7" t="s">
        <v>3658</v>
      </c>
      <c r="F448" s="9">
        <v>3</v>
      </c>
      <c r="G448" s="9" t="s">
        <v>2674</v>
      </c>
      <c r="H448" s="9" t="s">
        <v>3131</v>
      </c>
    </row>
    <row r="449" spans="1:8" customFormat="1" ht="16.149999999999999" hidden="1" x14ac:dyDescent="0.3">
      <c r="A449" s="3">
        <v>108</v>
      </c>
      <c r="B449" s="3">
        <v>7</v>
      </c>
      <c r="C449" s="3" t="s">
        <v>2954</v>
      </c>
      <c r="D449" s="4" t="s">
        <v>2958</v>
      </c>
      <c r="E449" s="4" t="s">
        <v>1371</v>
      </c>
      <c r="F449" s="3">
        <v>27.878</v>
      </c>
      <c r="G449" s="3" t="s">
        <v>2674</v>
      </c>
      <c r="H449" s="3" t="s">
        <v>2668</v>
      </c>
    </row>
    <row r="450" spans="1:8" x14ac:dyDescent="0.25">
      <c r="A450" s="9">
        <v>108</v>
      </c>
      <c r="B450" s="9">
        <v>7</v>
      </c>
      <c r="C450" s="9" t="s">
        <v>2954</v>
      </c>
      <c r="D450" s="7" t="s">
        <v>3664</v>
      </c>
      <c r="E450" s="7" t="s">
        <v>1385</v>
      </c>
      <c r="F450" s="9">
        <v>40</v>
      </c>
      <c r="G450" s="9" t="s">
        <v>2674</v>
      </c>
      <c r="H450" s="9" t="s">
        <v>2668</v>
      </c>
    </row>
    <row r="451" spans="1:8" customFormat="1" ht="16.149999999999999" hidden="1" x14ac:dyDescent="0.3">
      <c r="A451" s="3">
        <v>108</v>
      </c>
      <c r="B451" s="3">
        <v>7</v>
      </c>
      <c r="C451" s="3" t="s">
        <v>2954</v>
      </c>
      <c r="D451" s="4" t="s">
        <v>2957</v>
      </c>
      <c r="E451" s="4" t="s">
        <v>3463</v>
      </c>
      <c r="F451" s="3">
        <v>20</v>
      </c>
      <c r="G451" s="3" t="s">
        <v>2674</v>
      </c>
      <c r="H451" s="3" t="s">
        <v>2668</v>
      </c>
    </row>
    <row r="452" spans="1:8" customFormat="1" ht="16.149999999999999" hidden="1" x14ac:dyDescent="0.3">
      <c r="A452" s="3">
        <v>108</v>
      </c>
      <c r="B452" s="3">
        <v>7</v>
      </c>
      <c r="C452" s="3" t="s">
        <v>2954</v>
      </c>
      <c r="D452" s="4" t="s">
        <v>2955</v>
      </c>
      <c r="E452" s="4" t="s">
        <v>3462</v>
      </c>
      <c r="F452" s="3">
        <v>57.786000000000001</v>
      </c>
      <c r="G452" s="3" t="s">
        <v>2674</v>
      </c>
      <c r="H452" s="3" t="s">
        <v>3131</v>
      </c>
    </row>
    <row r="453" spans="1:8" customFormat="1" ht="16.149999999999999" hidden="1" x14ac:dyDescent="0.3">
      <c r="A453" s="3">
        <v>108</v>
      </c>
      <c r="B453" s="3">
        <v>7</v>
      </c>
      <c r="C453" s="3" t="s">
        <v>2954</v>
      </c>
      <c r="D453" s="4" t="s">
        <v>2955</v>
      </c>
      <c r="E453" s="4" t="s">
        <v>1368</v>
      </c>
      <c r="F453" s="3">
        <v>49.997</v>
      </c>
      <c r="G453" s="3" t="s">
        <v>2674</v>
      </c>
      <c r="H453" s="3" t="s">
        <v>3131</v>
      </c>
    </row>
    <row r="454" spans="1:8" customFormat="1" ht="16.149999999999999" hidden="1" x14ac:dyDescent="0.3">
      <c r="A454" s="3">
        <v>108</v>
      </c>
      <c r="B454" s="3">
        <v>7</v>
      </c>
      <c r="C454" s="3" t="s">
        <v>2954</v>
      </c>
      <c r="D454" s="4" t="s">
        <v>2955</v>
      </c>
      <c r="E454" s="4" t="s">
        <v>3464</v>
      </c>
      <c r="F454" s="3">
        <v>200</v>
      </c>
      <c r="G454" s="3" t="s">
        <v>2674</v>
      </c>
      <c r="H454" s="3" t="s">
        <v>3131</v>
      </c>
    </row>
    <row r="455" spans="1:8" customFormat="1" ht="16.149999999999999" hidden="1" x14ac:dyDescent="0.3">
      <c r="A455" s="3">
        <v>108</v>
      </c>
      <c r="B455" s="3">
        <v>7</v>
      </c>
      <c r="C455" s="3" t="s">
        <v>2954</v>
      </c>
      <c r="D455" s="4" t="s">
        <v>2959</v>
      </c>
      <c r="E455" s="4" t="s">
        <v>3465</v>
      </c>
      <c r="F455" s="3">
        <v>30</v>
      </c>
      <c r="G455" s="3" t="s">
        <v>2674</v>
      </c>
      <c r="H455" s="3" t="s">
        <v>3131</v>
      </c>
    </row>
    <row r="456" spans="1:8" customFormat="1" ht="16.149999999999999" hidden="1" x14ac:dyDescent="0.3">
      <c r="A456" s="3">
        <v>108</v>
      </c>
      <c r="B456" s="3">
        <v>7</v>
      </c>
      <c r="C456" s="3" t="s">
        <v>2954</v>
      </c>
      <c r="D456" s="4" t="s">
        <v>2956</v>
      </c>
      <c r="E456" s="4" t="s">
        <v>1360</v>
      </c>
      <c r="F456" s="3">
        <v>30</v>
      </c>
      <c r="G456" s="3" t="s">
        <v>2674</v>
      </c>
      <c r="H456" s="3" t="s">
        <v>3131</v>
      </c>
    </row>
    <row r="457" spans="1:8" customFormat="1" ht="16.149999999999999" hidden="1" x14ac:dyDescent="0.3">
      <c r="A457" s="3">
        <v>108</v>
      </c>
      <c r="B457" s="3">
        <v>7</v>
      </c>
      <c r="C457" s="3" t="s">
        <v>2954</v>
      </c>
      <c r="D457" s="4" t="s">
        <v>2960</v>
      </c>
      <c r="E457" s="4" t="s">
        <v>1381</v>
      </c>
      <c r="F457" s="3">
        <v>20</v>
      </c>
      <c r="G457" s="3" t="s">
        <v>2674</v>
      </c>
      <c r="H457" s="3" t="s">
        <v>3131</v>
      </c>
    </row>
    <row r="458" spans="1:8" x14ac:dyDescent="0.25">
      <c r="A458" s="9">
        <v>108</v>
      </c>
      <c r="B458" s="9">
        <v>7</v>
      </c>
      <c r="C458" s="9" t="s">
        <v>3099</v>
      </c>
      <c r="D458" s="7" t="s">
        <v>3112</v>
      </c>
      <c r="E458" s="7" t="s">
        <v>3581</v>
      </c>
      <c r="F458" s="9">
        <v>100</v>
      </c>
      <c r="G458" s="9" t="s">
        <v>2674</v>
      </c>
      <c r="H458" s="9" t="s">
        <v>2670</v>
      </c>
    </row>
    <row r="459" spans="1:8" x14ac:dyDescent="0.25">
      <c r="A459" s="9">
        <v>108</v>
      </c>
      <c r="B459" s="9">
        <v>7</v>
      </c>
      <c r="C459" s="9" t="s">
        <v>3099</v>
      </c>
      <c r="D459" s="7" t="s">
        <v>3652</v>
      </c>
      <c r="E459" s="7" t="s">
        <v>3590</v>
      </c>
      <c r="F459" s="9">
        <v>5</v>
      </c>
      <c r="G459" s="9" t="s">
        <v>2674</v>
      </c>
      <c r="H459" s="9" t="s">
        <v>2670</v>
      </c>
    </row>
    <row r="460" spans="1:8" x14ac:dyDescent="0.25">
      <c r="A460" s="9">
        <v>108</v>
      </c>
      <c r="B460" s="9">
        <v>7</v>
      </c>
      <c r="C460" s="9" t="s">
        <v>3099</v>
      </c>
      <c r="D460" s="7" t="s">
        <v>3641</v>
      </c>
      <c r="E460" s="7" t="s">
        <v>3590</v>
      </c>
      <c r="F460" s="9">
        <v>2</v>
      </c>
      <c r="G460" s="9" t="s">
        <v>2674</v>
      </c>
      <c r="H460" s="9" t="s">
        <v>2670</v>
      </c>
    </row>
    <row r="461" spans="1:8" x14ac:dyDescent="0.25">
      <c r="A461" s="9">
        <v>108</v>
      </c>
      <c r="B461" s="9">
        <v>7</v>
      </c>
      <c r="C461" s="9" t="s">
        <v>3099</v>
      </c>
      <c r="D461" s="7" t="s">
        <v>3628</v>
      </c>
      <c r="E461" s="7" t="s">
        <v>3590</v>
      </c>
      <c r="F461" s="9">
        <v>2</v>
      </c>
      <c r="G461" s="9" t="s">
        <v>2674</v>
      </c>
      <c r="H461" s="9" t="s">
        <v>2670</v>
      </c>
    </row>
    <row r="462" spans="1:8" x14ac:dyDescent="0.25">
      <c r="A462" s="9">
        <v>108</v>
      </c>
      <c r="B462" s="9">
        <v>7</v>
      </c>
      <c r="C462" s="9" t="s">
        <v>3099</v>
      </c>
      <c r="D462" s="7" t="s">
        <v>3639</v>
      </c>
      <c r="E462" s="7" t="s">
        <v>3590</v>
      </c>
      <c r="F462" s="9">
        <v>2</v>
      </c>
      <c r="G462" s="9" t="s">
        <v>2674</v>
      </c>
      <c r="H462" s="9" t="s">
        <v>2670</v>
      </c>
    </row>
    <row r="463" spans="1:8" x14ac:dyDescent="0.25">
      <c r="A463" s="9">
        <v>108</v>
      </c>
      <c r="B463" s="9">
        <v>7</v>
      </c>
      <c r="C463" s="9" t="s">
        <v>3099</v>
      </c>
      <c r="D463" s="7" t="s">
        <v>3627</v>
      </c>
      <c r="E463" s="7" t="s">
        <v>3590</v>
      </c>
      <c r="F463" s="9">
        <v>2</v>
      </c>
      <c r="G463" s="9" t="s">
        <v>2674</v>
      </c>
      <c r="H463" s="9" t="s">
        <v>2670</v>
      </c>
    </row>
    <row r="464" spans="1:8" x14ac:dyDescent="0.25">
      <c r="A464" s="9">
        <v>108</v>
      </c>
      <c r="B464" s="9">
        <v>7</v>
      </c>
      <c r="C464" s="9" t="s">
        <v>3099</v>
      </c>
      <c r="D464" s="7" t="s">
        <v>3617</v>
      </c>
      <c r="E464" s="7" t="s">
        <v>3590</v>
      </c>
      <c r="F464" s="9">
        <v>2</v>
      </c>
      <c r="G464" s="9" t="s">
        <v>2674</v>
      </c>
      <c r="H464" s="9" t="s">
        <v>2670</v>
      </c>
    </row>
    <row r="465" spans="1:8" x14ac:dyDescent="0.25">
      <c r="A465" s="9">
        <v>108</v>
      </c>
      <c r="B465" s="9">
        <v>7</v>
      </c>
      <c r="C465" s="9" t="s">
        <v>3099</v>
      </c>
      <c r="D465" s="7" t="s">
        <v>3629</v>
      </c>
      <c r="E465" s="7" t="s">
        <v>3590</v>
      </c>
      <c r="F465" s="9">
        <v>2</v>
      </c>
      <c r="G465" s="9" t="s">
        <v>2674</v>
      </c>
      <c r="H465" s="9" t="s">
        <v>2670</v>
      </c>
    </row>
    <row r="466" spans="1:8" x14ac:dyDescent="0.25">
      <c r="A466" s="9">
        <v>108</v>
      </c>
      <c r="B466" s="9">
        <v>7</v>
      </c>
      <c r="C466" s="9" t="s">
        <v>3099</v>
      </c>
      <c r="D466" s="7" t="s">
        <v>3642</v>
      </c>
      <c r="E466" s="7" t="s">
        <v>3590</v>
      </c>
      <c r="F466" s="9">
        <v>2</v>
      </c>
      <c r="G466" s="9" t="s">
        <v>2674</v>
      </c>
      <c r="H466" s="9" t="s">
        <v>2670</v>
      </c>
    </row>
    <row r="467" spans="1:8" x14ac:dyDescent="0.25">
      <c r="A467" s="9">
        <v>108</v>
      </c>
      <c r="B467" s="9">
        <v>7</v>
      </c>
      <c r="C467" s="9" t="s">
        <v>3099</v>
      </c>
      <c r="D467" s="7" t="s">
        <v>3640</v>
      </c>
      <c r="E467" s="7" t="s">
        <v>3590</v>
      </c>
      <c r="F467" s="9">
        <v>5</v>
      </c>
      <c r="G467" s="9" t="s">
        <v>2674</v>
      </c>
      <c r="H467" s="9" t="s">
        <v>2670</v>
      </c>
    </row>
    <row r="468" spans="1:8" x14ac:dyDescent="0.25">
      <c r="A468" s="9">
        <v>108</v>
      </c>
      <c r="B468" s="9">
        <v>7</v>
      </c>
      <c r="C468" s="9" t="s">
        <v>3099</v>
      </c>
      <c r="D468" s="7" t="s">
        <v>3638</v>
      </c>
      <c r="E468" s="7" t="s">
        <v>3590</v>
      </c>
      <c r="F468" s="9">
        <v>5</v>
      </c>
      <c r="G468" s="9" t="s">
        <v>2674</v>
      </c>
      <c r="H468" s="9" t="s">
        <v>2670</v>
      </c>
    </row>
    <row r="469" spans="1:8" x14ac:dyDescent="0.25">
      <c r="A469" s="9">
        <v>108</v>
      </c>
      <c r="B469" s="9">
        <v>7</v>
      </c>
      <c r="C469" s="9" t="s">
        <v>3099</v>
      </c>
      <c r="D469" s="7" t="s">
        <v>3620</v>
      </c>
      <c r="E469" s="7" t="s">
        <v>3590</v>
      </c>
      <c r="F469" s="9">
        <v>2</v>
      </c>
      <c r="G469" s="9" t="s">
        <v>2674</v>
      </c>
      <c r="H469" s="9" t="s">
        <v>2670</v>
      </c>
    </row>
    <row r="470" spans="1:8" x14ac:dyDescent="0.25">
      <c r="A470" s="9">
        <v>108</v>
      </c>
      <c r="B470" s="9">
        <v>7</v>
      </c>
      <c r="C470" s="9" t="s">
        <v>3099</v>
      </c>
      <c r="D470" s="7" t="s">
        <v>3647</v>
      </c>
      <c r="E470" s="7" t="s">
        <v>3590</v>
      </c>
      <c r="F470" s="9">
        <v>2</v>
      </c>
      <c r="G470" s="9" t="s">
        <v>2674</v>
      </c>
      <c r="H470" s="9" t="s">
        <v>2670</v>
      </c>
    </row>
    <row r="471" spans="1:8" x14ac:dyDescent="0.25">
      <c r="A471" s="9">
        <v>108</v>
      </c>
      <c r="B471" s="9">
        <v>7</v>
      </c>
      <c r="C471" s="9" t="s">
        <v>3099</v>
      </c>
      <c r="D471" s="7" t="s">
        <v>3657</v>
      </c>
      <c r="E471" s="7" t="s">
        <v>3590</v>
      </c>
      <c r="F471" s="9">
        <v>5</v>
      </c>
      <c r="G471" s="9" t="s">
        <v>2674</v>
      </c>
      <c r="H471" s="9" t="s">
        <v>2670</v>
      </c>
    </row>
    <row r="472" spans="1:8" x14ac:dyDescent="0.25">
      <c r="A472" s="9">
        <v>108</v>
      </c>
      <c r="B472" s="9">
        <v>7</v>
      </c>
      <c r="C472" s="9" t="s">
        <v>3099</v>
      </c>
      <c r="D472" s="7" t="s">
        <v>3637</v>
      </c>
      <c r="E472" s="7" t="s">
        <v>3590</v>
      </c>
      <c r="F472" s="9">
        <v>5</v>
      </c>
      <c r="G472" s="9" t="s">
        <v>2674</v>
      </c>
      <c r="H472" s="9" t="s">
        <v>2670</v>
      </c>
    </row>
    <row r="473" spans="1:8" x14ac:dyDescent="0.25">
      <c r="A473" s="9">
        <v>108</v>
      </c>
      <c r="B473" s="9">
        <v>7</v>
      </c>
      <c r="C473" s="9" t="s">
        <v>3099</v>
      </c>
      <c r="D473" s="7" t="s">
        <v>3619</v>
      </c>
      <c r="E473" s="7" t="s">
        <v>3590</v>
      </c>
      <c r="F473" s="9">
        <v>2</v>
      </c>
      <c r="G473" s="9" t="s">
        <v>2674</v>
      </c>
      <c r="H473" s="9" t="s">
        <v>2670</v>
      </c>
    </row>
    <row r="474" spans="1:8" x14ac:dyDescent="0.25">
      <c r="A474" s="9">
        <v>108</v>
      </c>
      <c r="B474" s="9">
        <v>7</v>
      </c>
      <c r="C474" s="9" t="s">
        <v>3099</v>
      </c>
      <c r="D474" s="7" t="s">
        <v>3610</v>
      </c>
      <c r="E474" s="7" t="s">
        <v>3590</v>
      </c>
      <c r="F474" s="9">
        <v>3</v>
      </c>
      <c r="G474" s="9" t="s">
        <v>2674</v>
      </c>
      <c r="H474" s="9" t="s">
        <v>2670</v>
      </c>
    </row>
    <row r="475" spans="1:8" x14ac:dyDescent="0.25">
      <c r="A475" s="9">
        <v>108</v>
      </c>
      <c r="B475" s="9">
        <v>7</v>
      </c>
      <c r="C475" s="9" t="s">
        <v>3099</v>
      </c>
      <c r="D475" s="7" t="s">
        <v>3611</v>
      </c>
      <c r="E475" s="7" t="s">
        <v>3590</v>
      </c>
      <c r="F475" s="9">
        <v>3</v>
      </c>
      <c r="G475" s="9" t="s">
        <v>2674</v>
      </c>
      <c r="H475" s="9" t="s">
        <v>2670</v>
      </c>
    </row>
    <row r="476" spans="1:8" x14ac:dyDescent="0.25">
      <c r="A476" s="9">
        <v>108</v>
      </c>
      <c r="B476" s="9">
        <v>7</v>
      </c>
      <c r="C476" s="9" t="s">
        <v>3099</v>
      </c>
      <c r="D476" s="8" t="s">
        <v>3662</v>
      </c>
      <c r="E476" s="7" t="s">
        <v>2663</v>
      </c>
      <c r="F476" s="9">
        <v>324.92399999999998</v>
      </c>
      <c r="G476" s="9" t="s">
        <v>2674</v>
      </c>
      <c r="H476" s="9" t="s">
        <v>2670</v>
      </c>
    </row>
    <row r="477" spans="1:8" x14ac:dyDescent="0.25">
      <c r="A477" s="9">
        <v>108</v>
      </c>
      <c r="B477" s="9">
        <v>7</v>
      </c>
      <c r="C477" s="9" t="s">
        <v>3099</v>
      </c>
      <c r="D477" s="7" t="s">
        <v>3645</v>
      </c>
      <c r="E477" s="7" t="s">
        <v>3590</v>
      </c>
      <c r="F477" s="9">
        <v>2</v>
      </c>
      <c r="G477" s="9" t="s">
        <v>2674</v>
      </c>
      <c r="H477" s="9" t="s">
        <v>2670</v>
      </c>
    </row>
    <row r="478" spans="1:8" x14ac:dyDescent="0.25">
      <c r="A478" s="9">
        <v>108</v>
      </c>
      <c r="B478" s="9">
        <v>7</v>
      </c>
      <c r="C478" s="9" t="s">
        <v>3099</v>
      </c>
      <c r="D478" s="7" t="s">
        <v>3622</v>
      </c>
      <c r="E478" s="7" t="s">
        <v>3590</v>
      </c>
      <c r="F478" s="9">
        <v>2</v>
      </c>
      <c r="G478" s="9" t="s">
        <v>2674</v>
      </c>
      <c r="H478" s="9" t="s">
        <v>2670</v>
      </c>
    </row>
    <row r="479" spans="1:8" x14ac:dyDescent="0.25">
      <c r="A479" s="9">
        <v>108</v>
      </c>
      <c r="B479" s="9">
        <v>7</v>
      </c>
      <c r="C479" s="9" t="s">
        <v>3099</v>
      </c>
      <c r="D479" s="7" t="s">
        <v>3369</v>
      </c>
      <c r="E479" s="7" t="s">
        <v>3538</v>
      </c>
      <c r="F479" s="9">
        <v>10</v>
      </c>
      <c r="G479" s="9" t="s">
        <v>2674</v>
      </c>
      <c r="H479" s="9" t="s">
        <v>2670</v>
      </c>
    </row>
    <row r="480" spans="1:8" x14ac:dyDescent="0.25">
      <c r="A480" s="9">
        <v>108</v>
      </c>
      <c r="B480" s="9">
        <v>7</v>
      </c>
      <c r="C480" s="9" t="s">
        <v>3099</v>
      </c>
      <c r="D480" s="7" t="s">
        <v>3114</v>
      </c>
      <c r="E480" s="7" t="s">
        <v>3584</v>
      </c>
      <c r="F480" s="9">
        <v>30</v>
      </c>
      <c r="G480" s="9" t="s">
        <v>2674</v>
      </c>
      <c r="H480" s="9" t="s">
        <v>2670</v>
      </c>
    </row>
    <row r="481" spans="1:8" x14ac:dyDescent="0.25">
      <c r="A481" s="9">
        <v>108</v>
      </c>
      <c r="B481" s="9">
        <v>7</v>
      </c>
      <c r="C481" s="9" t="s">
        <v>3099</v>
      </c>
      <c r="D481" s="7" t="s">
        <v>3105</v>
      </c>
      <c r="E481" s="7" t="s">
        <v>3554</v>
      </c>
      <c r="F481" s="9">
        <v>70</v>
      </c>
      <c r="G481" s="9" t="s">
        <v>2674</v>
      </c>
      <c r="H481" s="9" t="s">
        <v>2670</v>
      </c>
    </row>
    <row r="482" spans="1:8" x14ac:dyDescent="0.25">
      <c r="A482" s="9">
        <v>108</v>
      </c>
      <c r="B482" s="9">
        <v>7</v>
      </c>
      <c r="C482" s="9" t="s">
        <v>3099</v>
      </c>
      <c r="D482" s="7" t="s">
        <v>3101</v>
      </c>
      <c r="E482" s="7" t="s">
        <v>3549</v>
      </c>
      <c r="F482" s="9">
        <v>100</v>
      </c>
      <c r="G482" s="9" t="s">
        <v>2674</v>
      </c>
      <c r="H482" s="9" t="s">
        <v>2670</v>
      </c>
    </row>
    <row r="483" spans="1:8" x14ac:dyDescent="0.25">
      <c r="A483" s="9">
        <v>108</v>
      </c>
      <c r="B483" s="9">
        <v>7</v>
      </c>
      <c r="C483" s="9" t="s">
        <v>3099</v>
      </c>
      <c r="D483" s="7" t="s">
        <v>3106</v>
      </c>
      <c r="E483" s="7" t="s">
        <v>3555</v>
      </c>
      <c r="F483" s="9">
        <v>80</v>
      </c>
      <c r="G483" s="9" t="s">
        <v>2674</v>
      </c>
      <c r="H483" s="9" t="s">
        <v>2670</v>
      </c>
    </row>
    <row r="484" spans="1:8" x14ac:dyDescent="0.25">
      <c r="A484" s="9">
        <v>108</v>
      </c>
      <c r="B484" s="9">
        <v>7</v>
      </c>
      <c r="C484" s="9" t="s">
        <v>3099</v>
      </c>
      <c r="D484" s="7" t="s">
        <v>3103</v>
      </c>
      <c r="E484" s="7" t="s">
        <v>3552</v>
      </c>
      <c r="F484" s="9">
        <v>50</v>
      </c>
      <c r="G484" s="9" t="s">
        <v>2674</v>
      </c>
      <c r="H484" s="9" t="s">
        <v>2670</v>
      </c>
    </row>
    <row r="485" spans="1:8" ht="33" x14ac:dyDescent="0.25">
      <c r="A485" s="9">
        <v>108</v>
      </c>
      <c r="B485" s="9">
        <v>7</v>
      </c>
      <c r="C485" s="9" t="s">
        <v>3099</v>
      </c>
      <c r="D485" s="7" t="s">
        <v>3390</v>
      </c>
      <c r="E485" s="7" t="s">
        <v>3551</v>
      </c>
      <c r="F485" s="9">
        <v>122.93899999999999</v>
      </c>
      <c r="G485" s="9" t="s">
        <v>2674</v>
      </c>
      <c r="H485" s="9" t="s">
        <v>2670</v>
      </c>
    </row>
    <row r="486" spans="1:8" x14ac:dyDescent="0.25">
      <c r="A486" s="9">
        <v>108</v>
      </c>
      <c r="B486" s="9">
        <v>7</v>
      </c>
      <c r="C486" s="9" t="s">
        <v>3099</v>
      </c>
      <c r="D486" s="7" t="s">
        <v>3389</v>
      </c>
      <c r="E486" s="7" t="s">
        <v>3556</v>
      </c>
      <c r="F486" s="9">
        <v>252.27199999999999</v>
      </c>
      <c r="G486" s="9" t="s">
        <v>2674</v>
      </c>
      <c r="H486" s="9" t="s">
        <v>2670</v>
      </c>
    </row>
    <row r="487" spans="1:8" x14ac:dyDescent="0.25">
      <c r="A487" s="9">
        <v>108</v>
      </c>
      <c r="B487" s="9">
        <v>7</v>
      </c>
      <c r="C487" s="9" t="s">
        <v>3099</v>
      </c>
      <c r="D487" s="7" t="s">
        <v>3389</v>
      </c>
      <c r="E487" s="7" t="s">
        <v>3557</v>
      </c>
      <c r="F487" s="9">
        <v>201.916</v>
      </c>
      <c r="G487" s="9" t="s">
        <v>2674</v>
      </c>
      <c r="H487" s="9" t="s">
        <v>2670</v>
      </c>
    </row>
    <row r="488" spans="1:8" x14ac:dyDescent="0.25">
      <c r="A488" s="9">
        <v>108</v>
      </c>
      <c r="B488" s="9">
        <v>7</v>
      </c>
      <c r="C488" s="9" t="s">
        <v>3099</v>
      </c>
      <c r="D488" s="7" t="s">
        <v>3389</v>
      </c>
      <c r="E488" s="7" t="s">
        <v>3558</v>
      </c>
      <c r="F488" s="9">
        <v>299.99900000000002</v>
      </c>
      <c r="G488" s="9" t="s">
        <v>2674</v>
      </c>
      <c r="H488" s="9" t="s">
        <v>2670</v>
      </c>
    </row>
    <row r="489" spans="1:8" x14ac:dyDescent="0.25">
      <c r="A489" s="9">
        <v>108</v>
      </c>
      <c r="B489" s="9">
        <v>7</v>
      </c>
      <c r="C489" s="9" t="s">
        <v>3099</v>
      </c>
      <c r="D489" s="7" t="s">
        <v>3389</v>
      </c>
      <c r="E489" s="7" t="s">
        <v>3559</v>
      </c>
      <c r="F489" s="9">
        <v>299.93099999999998</v>
      </c>
      <c r="G489" s="9" t="s">
        <v>2674</v>
      </c>
      <c r="H489" s="9" t="s">
        <v>2670</v>
      </c>
    </row>
    <row r="490" spans="1:8" x14ac:dyDescent="0.25">
      <c r="A490" s="9">
        <v>108</v>
      </c>
      <c r="B490" s="9">
        <v>7</v>
      </c>
      <c r="C490" s="9" t="s">
        <v>3099</v>
      </c>
      <c r="D490" s="7" t="s">
        <v>3389</v>
      </c>
      <c r="E490" s="7" t="s">
        <v>3560</v>
      </c>
      <c r="F490" s="9">
        <v>234.2</v>
      </c>
      <c r="G490" s="9" t="s">
        <v>2674</v>
      </c>
      <c r="H490" s="9" t="s">
        <v>2670</v>
      </c>
    </row>
    <row r="491" spans="1:8" x14ac:dyDescent="0.25">
      <c r="A491" s="9">
        <v>108</v>
      </c>
      <c r="B491" s="9">
        <v>7</v>
      </c>
      <c r="C491" s="9" t="s">
        <v>3099</v>
      </c>
      <c r="D491" s="7" t="s">
        <v>3389</v>
      </c>
      <c r="E491" s="7" t="s">
        <v>3561</v>
      </c>
      <c r="F491" s="9">
        <v>132.26400000000001</v>
      </c>
      <c r="G491" s="9" t="s">
        <v>2674</v>
      </c>
      <c r="H491" s="9" t="s">
        <v>2670</v>
      </c>
    </row>
    <row r="492" spans="1:8" x14ac:dyDescent="0.25">
      <c r="A492" s="9">
        <v>108</v>
      </c>
      <c r="B492" s="9">
        <v>7</v>
      </c>
      <c r="C492" s="9" t="s">
        <v>3099</v>
      </c>
      <c r="D492" s="7" t="s">
        <v>3389</v>
      </c>
      <c r="E492" s="7" t="s">
        <v>3562</v>
      </c>
      <c r="F492" s="9">
        <v>274.447</v>
      </c>
      <c r="G492" s="9" t="s">
        <v>2674</v>
      </c>
      <c r="H492" s="9" t="s">
        <v>2670</v>
      </c>
    </row>
    <row r="493" spans="1:8" x14ac:dyDescent="0.25">
      <c r="A493" s="9">
        <v>108</v>
      </c>
      <c r="B493" s="9">
        <v>7</v>
      </c>
      <c r="C493" s="9" t="s">
        <v>3099</v>
      </c>
      <c r="D493" s="7" t="s">
        <v>3389</v>
      </c>
      <c r="E493" s="7" t="s">
        <v>3563</v>
      </c>
      <c r="F493" s="9">
        <v>220</v>
      </c>
      <c r="G493" s="9" t="s">
        <v>2674</v>
      </c>
      <c r="H493" s="9" t="s">
        <v>2670</v>
      </c>
    </row>
    <row r="494" spans="1:8" x14ac:dyDescent="0.25">
      <c r="A494" s="9">
        <v>108</v>
      </c>
      <c r="B494" s="9">
        <v>7</v>
      </c>
      <c r="C494" s="9" t="s">
        <v>3099</v>
      </c>
      <c r="D494" s="7" t="s">
        <v>3389</v>
      </c>
      <c r="E494" s="7" t="s">
        <v>3564</v>
      </c>
      <c r="F494" s="9">
        <v>235</v>
      </c>
      <c r="G494" s="9" t="s">
        <v>2674</v>
      </c>
      <c r="H494" s="9" t="s">
        <v>2670</v>
      </c>
    </row>
    <row r="495" spans="1:8" x14ac:dyDescent="0.25">
      <c r="A495" s="9">
        <v>108</v>
      </c>
      <c r="B495" s="9">
        <v>7</v>
      </c>
      <c r="C495" s="9" t="s">
        <v>3099</v>
      </c>
      <c r="D495" s="7" t="s">
        <v>3389</v>
      </c>
      <c r="E495" s="7" t="s">
        <v>3567</v>
      </c>
      <c r="F495" s="9">
        <v>299.99900000000002</v>
      </c>
      <c r="G495" s="9" t="s">
        <v>2674</v>
      </c>
      <c r="H495" s="9" t="s">
        <v>2670</v>
      </c>
    </row>
    <row r="496" spans="1:8" x14ac:dyDescent="0.25">
      <c r="A496" s="9">
        <v>108</v>
      </c>
      <c r="B496" s="9">
        <v>7</v>
      </c>
      <c r="C496" s="9" t="s">
        <v>3099</v>
      </c>
      <c r="D496" s="7" t="s">
        <v>3389</v>
      </c>
      <c r="E496" s="7" t="s">
        <v>3568</v>
      </c>
      <c r="F496" s="9">
        <v>158.78299999999999</v>
      </c>
      <c r="G496" s="9" t="s">
        <v>2674</v>
      </c>
      <c r="H496" s="9" t="s">
        <v>2670</v>
      </c>
    </row>
    <row r="497" spans="1:8" x14ac:dyDescent="0.25">
      <c r="A497" s="9">
        <v>108</v>
      </c>
      <c r="B497" s="9">
        <v>7</v>
      </c>
      <c r="C497" s="9" t="s">
        <v>3099</v>
      </c>
      <c r="D497" s="7" t="s">
        <v>3389</v>
      </c>
      <c r="E497" s="7" t="s">
        <v>3569</v>
      </c>
      <c r="F497" s="9">
        <v>231.06</v>
      </c>
      <c r="G497" s="9" t="s">
        <v>2674</v>
      </c>
      <c r="H497" s="9" t="s">
        <v>2670</v>
      </c>
    </row>
    <row r="498" spans="1:8" x14ac:dyDescent="0.25">
      <c r="A498" s="9">
        <v>108</v>
      </c>
      <c r="B498" s="9">
        <v>7</v>
      </c>
      <c r="C498" s="9" t="s">
        <v>3099</v>
      </c>
      <c r="D498" s="7" t="s">
        <v>3389</v>
      </c>
      <c r="E498" s="7" t="s">
        <v>3570</v>
      </c>
      <c r="F498" s="9">
        <v>210.4</v>
      </c>
      <c r="G498" s="9" t="s">
        <v>2674</v>
      </c>
      <c r="H498" s="9" t="s">
        <v>2670</v>
      </c>
    </row>
    <row r="499" spans="1:8" x14ac:dyDescent="0.25">
      <c r="A499" s="9">
        <v>108</v>
      </c>
      <c r="B499" s="9">
        <v>7</v>
      </c>
      <c r="C499" s="9" t="s">
        <v>3099</v>
      </c>
      <c r="D499" s="7" t="s">
        <v>3389</v>
      </c>
      <c r="E499" s="7" t="s">
        <v>3571</v>
      </c>
      <c r="F499" s="9">
        <v>209</v>
      </c>
      <c r="G499" s="9" t="s">
        <v>2674</v>
      </c>
      <c r="H499" s="9" t="s">
        <v>2670</v>
      </c>
    </row>
    <row r="500" spans="1:8" x14ac:dyDescent="0.25">
      <c r="A500" s="9">
        <v>108</v>
      </c>
      <c r="B500" s="9">
        <v>7</v>
      </c>
      <c r="C500" s="9" t="s">
        <v>3099</v>
      </c>
      <c r="D500" s="7" t="s">
        <v>3389</v>
      </c>
      <c r="E500" s="7" t="s">
        <v>3572</v>
      </c>
      <c r="F500" s="9">
        <v>263.83999999999997</v>
      </c>
      <c r="G500" s="9" t="s">
        <v>2674</v>
      </c>
      <c r="H500" s="9" t="s">
        <v>2670</v>
      </c>
    </row>
    <row r="501" spans="1:8" x14ac:dyDescent="0.25">
      <c r="A501" s="9">
        <v>108</v>
      </c>
      <c r="B501" s="9">
        <v>7</v>
      </c>
      <c r="C501" s="9" t="s">
        <v>3099</v>
      </c>
      <c r="D501" s="7" t="s">
        <v>3389</v>
      </c>
      <c r="E501" s="7" t="s">
        <v>3573</v>
      </c>
      <c r="F501" s="9">
        <v>297.89100000000002</v>
      </c>
      <c r="G501" s="9" t="s">
        <v>2674</v>
      </c>
      <c r="H501" s="9" t="s">
        <v>2670</v>
      </c>
    </row>
    <row r="502" spans="1:8" x14ac:dyDescent="0.25">
      <c r="A502" s="9">
        <v>108</v>
      </c>
      <c r="B502" s="9">
        <v>7</v>
      </c>
      <c r="C502" s="9" t="s">
        <v>3099</v>
      </c>
      <c r="D502" s="7" t="s">
        <v>3389</v>
      </c>
      <c r="E502" s="7" t="s">
        <v>3574</v>
      </c>
      <c r="F502" s="9">
        <v>460.54</v>
      </c>
      <c r="G502" s="9" t="s">
        <v>2674</v>
      </c>
      <c r="H502" s="9" t="s">
        <v>2670</v>
      </c>
    </row>
    <row r="503" spans="1:8" x14ac:dyDescent="0.25">
      <c r="A503" s="9">
        <v>108</v>
      </c>
      <c r="B503" s="9">
        <v>7</v>
      </c>
      <c r="C503" s="9" t="s">
        <v>3099</v>
      </c>
      <c r="D503" s="7" t="s">
        <v>3389</v>
      </c>
      <c r="E503" s="7" t="s">
        <v>3575</v>
      </c>
      <c r="F503" s="9">
        <v>508.29899999999998</v>
      </c>
      <c r="G503" s="9" t="s">
        <v>2674</v>
      </c>
      <c r="H503" s="9" t="s">
        <v>2670</v>
      </c>
    </row>
    <row r="504" spans="1:8" x14ac:dyDescent="0.25">
      <c r="A504" s="9">
        <v>108</v>
      </c>
      <c r="B504" s="9">
        <v>7</v>
      </c>
      <c r="C504" s="9" t="s">
        <v>3099</v>
      </c>
      <c r="D504" s="7" t="s">
        <v>3389</v>
      </c>
      <c r="E504" s="7" t="s">
        <v>3576</v>
      </c>
      <c r="F504" s="9">
        <v>300</v>
      </c>
      <c r="G504" s="9" t="s">
        <v>2674</v>
      </c>
      <c r="H504" s="9" t="s">
        <v>2670</v>
      </c>
    </row>
    <row r="505" spans="1:8" x14ac:dyDescent="0.25">
      <c r="A505" s="9">
        <v>108</v>
      </c>
      <c r="B505" s="9">
        <v>7</v>
      </c>
      <c r="C505" s="9" t="s">
        <v>3099</v>
      </c>
      <c r="D505" s="7" t="s">
        <v>3389</v>
      </c>
      <c r="E505" s="7" t="s">
        <v>3578</v>
      </c>
      <c r="F505" s="9">
        <v>140.28</v>
      </c>
      <c r="G505" s="9" t="s">
        <v>2674</v>
      </c>
      <c r="H505" s="9" t="s">
        <v>2670</v>
      </c>
    </row>
    <row r="506" spans="1:8" x14ac:dyDescent="0.25">
      <c r="A506" s="9">
        <v>108</v>
      </c>
      <c r="B506" s="9">
        <v>7</v>
      </c>
      <c r="C506" s="9" t="s">
        <v>3099</v>
      </c>
      <c r="D506" s="7" t="s">
        <v>3389</v>
      </c>
      <c r="E506" s="7" t="s">
        <v>3579</v>
      </c>
      <c r="F506" s="9">
        <v>209.01599999999999</v>
      </c>
      <c r="G506" s="9" t="s">
        <v>2674</v>
      </c>
      <c r="H506" s="9" t="s">
        <v>2670</v>
      </c>
    </row>
    <row r="507" spans="1:8" x14ac:dyDescent="0.25">
      <c r="A507" s="9">
        <v>108</v>
      </c>
      <c r="B507" s="9">
        <v>7</v>
      </c>
      <c r="C507" s="9" t="s">
        <v>3099</v>
      </c>
      <c r="D507" s="7" t="s">
        <v>3389</v>
      </c>
      <c r="E507" s="7" t="s">
        <v>3582</v>
      </c>
      <c r="F507" s="9">
        <v>238.208</v>
      </c>
      <c r="G507" s="9" t="s">
        <v>2674</v>
      </c>
      <c r="H507" s="9" t="s">
        <v>2670</v>
      </c>
    </row>
    <row r="508" spans="1:8" ht="33" x14ac:dyDescent="0.25">
      <c r="A508" s="9">
        <v>108</v>
      </c>
      <c r="B508" s="9">
        <v>7</v>
      </c>
      <c r="C508" s="9" t="s">
        <v>3099</v>
      </c>
      <c r="D508" s="7" t="s">
        <v>3389</v>
      </c>
      <c r="E508" s="7" t="s">
        <v>3660</v>
      </c>
      <c r="F508" s="9">
        <v>100.51</v>
      </c>
      <c r="G508" s="9" t="s">
        <v>2674</v>
      </c>
      <c r="H508" s="9" t="s">
        <v>2670</v>
      </c>
    </row>
    <row r="509" spans="1:8" x14ac:dyDescent="0.25">
      <c r="A509" s="9">
        <v>108</v>
      </c>
      <c r="B509" s="9">
        <v>7</v>
      </c>
      <c r="C509" s="9" t="s">
        <v>3099</v>
      </c>
      <c r="D509" s="7" t="s">
        <v>3389</v>
      </c>
      <c r="E509" s="7" t="s">
        <v>3585</v>
      </c>
      <c r="F509" s="9">
        <v>259.92</v>
      </c>
      <c r="G509" s="9" t="s">
        <v>2674</v>
      </c>
      <c r="H509" s="9" t="s">
        <v>2670</v>
      </c>
    </row>
    <row r="510" spans="1:8" x14ac:dyDescent="0.25">
      <c r="A510" s="9">
        <v>108</v>
      </c>
      <c r="B510" s="9">
        <v>7</v>
      </c>
      <c r="C510" s="9" t="s">
        <v>3099</v>
      </c>
      <c r="D510" s="7" t="s">
        <v>3102</v>
      </c>
      <c r="E510" s="7" t="s">
        <v>3550</v>
      </c>
      <c r="F510" s="9">
        <v>50</v>
      </c>
      <c r="G510" s="9" t="s">
        <v>2674</v>
      </c>
      <c r="H510" s="9" t="s">
        <v>2670</v>
      </c>
    </row>
    <row r="511" spans="1:8" x14ac:dyDescent="0.25">
      <c r="A511" s="9">
        <v>108</v>
      </c>
      <c r="B511" s="9">
        <v>7</v>
      </c>
      <c r="C511" s="9" t="s">
        <v>3099</v>
      </c>
      <c r="D511" s="7" t="s">
        <v>3102</v>
      </c>
      <c r="E511" s="7" t="s">
        <v>3580</v>
      </c>
      <c r="F511" s="9">
        <v>100</v>
      </c>
      <c r="G511" s="9" t="s">
        <v>2674</v>
      </c>
      <c r="H511" s="9" t="s">
        <v>2670</v>
      </c>
    </row>
    <row r="512" spans="1:8" x14ac:dyDescent="0.25">
      <c r="A512" s="9">
        <v>108</v>
      </c>
      <c r="B512" s="9">
        <v>7</v>
      </c>
      <c r="C512" s="9" t="s">
        <v>3099</v>
      </c>
      <c r="D512" s="7" t="s">
        <v>3108</v>
      </c>
      <c r="E512" s="7" t="s">
        <v>3565</v>
      </c>
      <c r="F512" s="9">
        <v>40</v>
      </c>
      <c r="G512" s="9" t="s">
        <v>2674</v>
      </c>
      <c r="H512" s="9" t="s">
        <v>2670</v>
      </c>
    </row>
    <row r="513" spans="1:8" x14ac:dyDescent="0.25">
      <c r="A513" s="9">
        <v>108</v>
      </c>
      <c r="B513" s="9">
        <v>7</v>
      </c>
      <c r="C513" s="9" t="s">
        <v>3099</v>
      </c>
      <c r="D513" s="7" t="s">
        <v>3104</v>
      </c>
      <c r="E513" s="7" t="s">
        <v>3553</v>
      </c>
      <c r="F513" s="9">
        <v>50</v>
      </c>
      <c r="G513" s="9" t="s">
        <v>2674</v>
      </c>
      <c r="H513" s="9" t="s">
        <v>2670</v>
      </c>
    </row>
    <row r="514" spans="1:8" x14ac:dyDescent="0.25">
      <c r="A514" s="9">
        <v>108</v>
      </c>
      <c r="B514" s="9">
        <v>7</v>
      </c>
      <c r="C514" s="9" t="s">
        <v>3099</v>
      </c>
      <c r="D514" s="7" t="s">
        <v>3111</v>
      </c>
      <c r="E514" s="7" t="s">
        <v>3577</v>
      </c>
      <c r="F514" s="9">
        <v>100</v>
      </c>
      <c r="G514" s="9" t="s">
        <v>2674</v>
      </c>
      <c r="H514" s="9" t="s">
        <v>2670</v>
      </c>
    </row>
    <row r="515" spans="1:8" x14ac:dyDescent="0.25">
      <c r="A515" s="9">
        <v>108</v>
      </c>
      <c r="B515" s="9">
        <v>7</v>
      </c>
      <c r="C515" s="9" t="s">
        <v>3099</v>
      </c>
      <c r="D515" s="7" t="s">
        <v>3113</v>
      </c>
      <c r="E515" s="7" t="s">
        <v>3583</v>
      </c>
      <c r="F515" s="9">
        <v>50</v>
      </c>
      <c r="G515" s="9" t="s">
        <v>2674</v>
      </c>
      <c r="H515" s="9" t="s">
        <v>2670</v>
      </c>
    </row>
    <row r="516" spans="1:8" x14ac:dyDescent="0.25">
      <c r="A516" s="9">
        <v>108</v>
      </c>
      <c r="B516" s="9">
        <v>7</v>
      </c>
      <c r="C516" s="9" t="s">
        <v>3099</v>
      </c>
      <c r="D516" s="7" t="s">
        <v>3109</v>
      </c>
      <c r="E516" s="7" t="s">
        <v>3566</v>
      </c>
      <c r="F516" s="9">
        <v>100</v>
      </c>
      <c r="G516" s="9" t="s">
        <v>2674</v>
      </c>
      <c r="H516" s="9" t="s">
        <v>2670</v>
      </c>
    </row>
    <row r="517" spans="1:8" x14ac:dyDescent="0.25">
      <c r="A517" s="9">
        <v>108</v>
      </c>
      <c r="B517" s="9">
        <v>7</v>
      </c>
      <c r="C517" s="9" t="s">
        <v>3099</v>
      </c>
      <c r="D517" s="7" t="s">
        <v>3107</v>
      </c>
      <c r="E517" s="7" t="s">
        <v>3539</v>
      </c>
      <c r="F517" s="9">
        <v>100</v>
      </c>
      <c r="G517" s="9" t="s">
        <v>2674</v>
      </c>
      <c r="H517" s="9" t="s">
        <v>2670</v>
      </c>
    </row>
    <row r="518" spans="1:8" x14ac:dyDescent="0.25">
      <c r="A518" s="9">
        <v>108</v>
      </c>
      <c r="B518" s="9">
        <v>7</v>
      </c>
      <c r="C518" s="9" t="s">
        <v>3099</v>
      </c>
      <c r="D518" s="7" t="s">
        <v>3100</v>
      </c>
      <c r="E518" s="7" t="s">
        <v>2441</v>
      </c>
      <c r="F518" s="9">
        <v>89.6</v>
      </c>
      <c r="G518" s="9" t="s">
        <v>2674</v>
      </c>
      <c r="H518" s="9" t="s">
        <v>2670</v>
      </c>
    </row>
    <row r="519" spans="1:8" x14ac:dyDescent="0.25">
      <c r="A519" s="9">
        <v>108</v>
      </c>
      <c r="B519" s="9">
        <v>7</v>
      </c>
      <c r="C519" s="9" t="s">
        <v>3099</v>
      </c>
      <c r="D519" s="7" t="s">
        <v>3100</v>
      </c>
      <c r="E519" s="7" t="s">
        <v>2446</v>
      </c>
      <c r="F519" s="9">
        <v>80</v>
      </c>
      <c r="G519" s="9" t="s">
        <v>2674</v>
      </c>
      <c r="H519" s="9" t="s">
        <v>2670</v>
      </c>
    </row>
    <row r="520" spans="1:8" x14ac:dyDescent="0.25">
      <c r="A520" s="9">
        <v>108</v>
      </c>
      <c r="B520" s="9">
        <v>7</v>
      </c>
      <c r="C520" s="9" t="s">
        <v>3099</v>
      </c>
      <c r="D520" s="7" t="s">
        <v>3100</v>
      </c>
      <c r="E520" s="7" t="s">
        <v>2448</v>
      </c>
      <c r="F520" s="9">
        <v>80</v>
      </c>
      <c r="G520" s="9" t="s">
        <v>2674</v>
      </c>
      <c r="H520" s="9" t="s">
        <v>2670</v>
      </c>
    </row>
    <row r="521" spans="1:8" x14ac:dyDescent="0.25">
      <c r="A521" s="9">
        <v>108</v>
      </c>
      <c r="B521" s="9">
        <v>7</v>
      </c>
      <c r="C521" s="9" t="s">
        <v>3099</v>
      </c>
      <c r="D521" s="7" t="s">
        <v>3100</v>
      </c>
      <c r="E521" s="7" t="s">
        <v>3537</v>
      </c>
      <c r="F521" s="9">
        <v>40</v>
      </c>
      <c r="G521" s="9" t="s">
        <v>2674</v>
      </c>
      <c r="H521" s="9" t="s">
        <v>2670</v>
      </c>
    </row>
    <row r="522" spans="1:8" x14ac:dyDescent="0.25">
      <c r="A522" s="9">
        <v>108</v>
      </c>
      <c r="B522" s="9">
        <v>7</v>
      </c>
      <c r="C522" s="9" t="s">
        <v>3099</v>
      </c>
      <c r="D522" s="7" t="s">
        <v>3100</v>
      </c>
      <c r="E522" s="7" t="s">
        <v>3540</v>
      </c>
      <c r="F522" s="9">
        <v>12</v>
      </c>
      <c r="G522" s="9" t="s">
        <v>2674</v>
      </c>
      <c r="H522" s="9" t="s">
        <v>2670</v>
      </c>
    </row>
    <row r="523" spans="1:8" x14ac:dyDescent="0.25">
      <c r="A523" s="9">
        <v>108</v>
      </c>
      <c r="B523" s="9">
        <v>7</v>
      </c>
      <c r="C523" s="9" t="s">
        <v>3099</v>
      </c>
      <c r="D523" s="7" t="s">
        <v>3100</v>
      </c>
      <c r="E523" s="7" t="s">
        <v>2515</v>
      </c>
      <c r="F523" s="9">
        <v>80</v>
      </c>
      <c r="G523" s="9" t="s">
        <v>2674</v>
      </c>
      <c r="H523" s="9" t="s">
        <v>2670</v>
      </c>
    </row>
    <row r="524" spans="1:8" x14ac:dyDescent="0.25">
      <c r="A524" s="9">
        <v>108</v>
      </c>
      <c r="B524" s="9">
        <v>7</v>
      </c>
      <c r="C524" s="9" t="s">
        <v>3099</v>
      </c>
      <c r="D524" s="7" t="s">
        <v>3100</v>
      </c>
      <c r="E524" s="7" t="s">
        <v>2517</v>
      </c>
      <c r="F524" s="9">
        <v>30</v>
      </c>
      <c r="G524" s="9" t="s">
        <v>2674</v>
      </c>
      <c r="H524" s="9" t="s">
        <v>2670</v>
      </c>
    </row>
    <row r="525" spans="1:8" x14ac:dyDescent="0.25">
      <c r="A525" s="9">
        <v>108</v>
      </c>
      <c r="B525" s="9">
        <v>7</v>
      </c>
      <c r="C525" s="9" t="s">
        <v>3099</v>
      </c>
      <c r="D525" s="7" t="s">
        <v>3100</v>
      </c>
      <c r="E525" s="7" t="s">
        <v>2527</v>
      </c>
      <c r="F525" s="9">
        <v>162.46799999999999</v>
      </c>
      <c r="G525" s="9" t="s">
        <v>2674</v>
      </c>
      <c r="H525" s="9" t="s">
        <v>2670</v>
      </c>
    </row>
    <row r="526" spans="1:8" x14ac:dyDescent="0.25">
      <c r="A526" s="9">
        <v>108</v>
      </c>
      <c r="B526" s="9">
        <v>7</v>
      </c>
      <c r="C526" s="9" t="s">
        <v>3099</v>
      </c>
      <c r="D526" s="7" t="s">
        <v>3100</v>
      </c>
      <c r="E526" s="7" t="s">
        <v>2529</v>
      </c>
      <c r="F526" s="9">
        <v>99</v>
      </c>
      <c r="G526" s="9" t="s">
        <v>2674</v>
      </c>
      <c r="H526" s="9" t="s">
        <v>2670</v>
      </c>
    </row>
    <row r="527" spans="1:8" x14ac:dyDescent="0.25">
      <c r="A527" s="9">
        <v>108</v>
      </c>
      <c r="B527" s="9">
        <v>7</v>
      </c>
      <c r="C527" s="9" t="s">
        <v>3099</v>
      </c>
      <c r="D527" s="7" t="s">
        <v>3100</v>
      </c>
      <c r="E527" s="7" t="s">
        <v>3541</v>
      </c>
      <c r="F527" s="9">
        <v>60</v>
      </c>
      <c r="G527" s="9" t="s">
        <v>2674</v>
      </c>
      <c r="H527" s="9" t="s">
        <v>2670</v>
      </c>
    </row>
    <row r="528" spans="1:8" x14ac:dyDescent="0.25">
      <c r="A528" s="9">
        <v>108</v>
      </c>
      <c r="B528" s="9">
        <v>7</v>
      </c>
      <c r="C528" s="9" t="s">
        <v>3099</v>
      </c>
      <c r="D528" s="7" t="s">
        <v>3100</v>
      </c>
      <c r="E528" s="7" t="s">
        <v>2581</v>
      </c>
      <c r="F528" s="9">
        <v>80</v>
      </c>
      <c r="G528" s="9" t="s">
        <v>2674</v>
      </c>
      <c r="H528" s="9" t="s">
        <v>2670</v>
      </c>
    </row>
    <row r="529" spans="1:8" x14ac:dyDescent="0.25">
      <c r="A529" s="9">
        <v>108</v>
      </c>
      <c r="B529" s="9">
        <v>7</v>
      </c>
      <c r="C529" s="9" t="s">
        <v>3099</v>
      </c>
      <c r="D529" s="7" t="s">
        <v>3100</v>
      </c>
      <c r="E529" s="7" t="s">
        <v>2583</v>
      </c>
      <c r="F529" s="9">
        <v>94.834999999999994</v>
      </c>
      <c r="G529" s="9" t="s">
        <v>2674</v>
      </c>
      <c r="H529" s="9" t="s">
        <v>2670</v>
      </c>
    </row>
    <row r="530" spans="1:8" ht="33" x14ac:dyDescent="0.25">
      <c r="A530" s="9">
        <v>108</v>
      </c>
      <c r="B530" s="9">
        <v>7</v>
      </c>
      <c r="C530" s="9" t="s">
        <v>3099</v>
      </c>
      <c r="D530" s="7" t="s">
        <v>3100</v>
      </c>
      <c r="E530" s="7" t="s">
        <v>3542</v>
      </c>
      <c r="F530" s="9">
        <v>80</v>
      </c>
      <c r="G530" s="9" t="s">
        <v>2674</v>
      </c>
      <c r="H530" s="9" t="s">
        <v>2670</v>
      </c>
    </row>
    <row r="531" spans="1:8" x14ac:dyDescent="0.25">
      <c r="A531" s="9">
        <v>108</v>
      </c>
      <c r="B531" s="9">
        <v>7</v>
      </c>
      <c r="C531" s="9" t="s">
        <v>3099</v>
      </c>
      <c r="D531" s="7" t="s">
        <v>3100</v>
      </c>
      <c r="E531" s="7" t="s">
        <v>3661</v>
      </c>
      <c r="F531" s="9">
        <v>15</v>
      </c>
      <c r="G531" s="9" t="s">
        <v>2674</v>
      </c>
      <c r="H531" s="9" t="s">
        <v>2670</v>
      </c>
    </row>
    <row r="532" spans="1:8" ht="33" x14ac:dyDescent="0.25">
      <c r="A532" s="9">
        <v>108</v>
      </c>
      <c r="B532" s="9">
        <v>7</v>
      </c>
      <c r="C532" s="9" t="s">
        <v>3099</v>
      </c>
      <c r="D532" s="7" t="s">
        <v>3110</v>
      </c>
      <c r="E532" s="7" t="s">
        <v>3543</v>
      </c>
      <c r="F532" s="9">
        <v>15</v>
      </c>
      <c r="G532" s="9" t="s">
        <v>2674</v>
      </c>
      <c r="H532" s="9" t="s">
        <v>2670</v>
      </c>
    </row>
    <row r="533" spans="1:8" x14ac:dyDescent="0.25">
      <c r="A533" s="9">
        <v>108</v>
      </c>
      <c r="B533" s="9">
        <v>7</v>
      </c>
      <c r="C533" s="9" t="s">
        <v>3099</v>
      </c>
      <c r="D533" s="7" t="s">
        <v>3653</v>
      </c>
      <c r="E533" s="7" t="s">
        <v>3590</v>
      </c>
      <c r="F533" s="9">
        <v>2</v>
      </c>
      <c r="G533" s="9" t="s">
        <v>2674</v>
      </c>
      <c r="H533" s="9" t="s">
        <v>2670</v>
      </c>
    </row>
    <row r="534" spans="1:8" x14ac:dyDescent="0.25">
      <c r="A534" s="9">
        <v>108</v>
      </c>
      <c r="B534" s="9">
        <v>7</v>
      </c>
      <c r="C534" s="9" t="s">
        <v>3099</v>
      </c>
      <c r="D534" s="7" t="s">
        <v>3635</v>
      </c>
      <c r="E534" s="7" t="s">
        <v>3590</v>
      </c>
      <c r="F534" s="9">
        <v>2</v>
      </c>
      <c r="G534" s="9" t="s">
        <v>2674</v>
      </c>
      <c r="H534" s="9" t="s">
        <v>2670</v>
      </c>
    </row>
    <row r="535" spans="1:8" x14ac:dyDescent="0.25">
      <c r="A535" s="9">
        <v>108</v>
      </c>
      <c r="B535" s="9">
        <v>7</v>
      </c>
      <c r="C535" s="9" t="s">
        <v>3099</v>
      </c>
      <c r="D535" s="7" t="s">
        <v>3649</v>
      </c>
      <c r="E535" s="7" t="s">
        <v>3590</v>
      </c>
      <c r="F535" s="9">
        <v>2</v>
      </c>
      <c r="G535" s="9" t="s">
        <v>2674</v>
      </c>
      <c r="H535" s="9" t="s">
        <v>2670</v>
      </c>
    </row>
    <row r="536" spans="1:8" x14ac:dyDescent="0.25">
      <c r="A536" s="9">
        <v>108</v>
      </c>
      <c r="B536" s="9">
        <v>7</v>
      </c>
      <c r="C536" s="9" t="s">
        <v>3099</v>
      </c>
      <c r="D536" s="7" t="s">
        <v>3625</v>
      </c>
      <c r="E536" s="7" t="s">
        <v>3590</v>
      </c>
      <c r="F536" s="9">
        <v>2</v>
      </c>
      <c r="G536" s="9" t="s">
        <v>2674</v>
      </c>
      <c r="H536" s="9" t="s">
        <v>2670</v>
      </c>
    </row>
    <row r="537" spans="1:8" x14ac:dyDescent="0.25">
      <c r="A537" s="9">
        <v>108</v>
      </c>
      <c r="B537" s="9">
        <v>7</v>
      </c>
      <c r="C537" s="9" t="s">
        <v>3099</v>
      </c>
      <c r="D537" s="7" t="s">
        <v>3634</v>
      </c>
      <c r="E537" s="7" t="s">
        <v>3590</v>
      </c>
      <c r="F537" s="9">
        <v>2</v>
      </c>
      <c r="G537" s="9" t="s">
        <v>2674</v>
      </c>
      <c r="H537" s="9" t="s">
        <v>2670</v>
      </c>
    </row>
    <row r="538" spans="1:8" x14ac:dyDescent="0.25">
      <c r="A538" s="9">
        <v>108</v>
      </c>
      <c r="B538" s="9">
        <v>7</v>
      </c>
      <c r="C538" s="9" t="s">
        <v>3099</v>
      </c>
      <c r="D538" s="7" t="s">
        <v>3644</v>
      </c>
      <c r="E538" s="7" t="s">
        <v>3590</v>
      </c>
      <c r="F538" s="9">
        <v>5</v>
      </c>
      <c r="G538" s="9" t="s">
        <v>2674</v>
      </c>
      <c r="H538" s="9" t="s">
        <v>2670</v>
      </c>
    </row>
    <row r="539" spans="1:8" x14ac:dyDescent="0.25">
      <c r="A539" s="9">
        <v>108</v>
      </c>
      <c r="B539" s="9">
        <v>7</v>
      </c>
      <c r="C539" s="9" t="s">
        <v>3099</v>
      </c>
      <c r="D539" s="7" t="s">
        <v>3630</v>
      </c>
      <c r="E539" s="7" t="s">
        <v>3590</v>
      </c>
      <c r="F539" s="9">
        <v>2</v>
      </c>
      <c r="G539" s="9" t="s">
        <v>2674</v>
      </c>
      <c r="H539" s="9" t="s">
        <v>2670</v>
      </c>
    </row>
    <row r="540" spans="1:8" x14ac:dyDescent="0.25">
      <c r="A540" s="9">
        <v>108</v>
      </c>
      <c r="B540" s="9">
        <v>7</v>
      </c>
      <c r="C540" s="9" t="s">
        <v>3099</v>
      </c>
      <c r="D540" s="7" t="s">
        <v>3646</v>
      </c>
      <c r="E540" s="7" t="s">
        <v>3590</v>
      </c>
      <c r="F540" s="9">
        <v>2</v>
      </c>
      <c r="G540" s="9" t="s">
        <v>2674</v>
      </c>
      <c r="H540" s="9" t="s">
        <v>2670</v>
      </c>
    </row>
    <row r="541" spans="1:8" x14ac:dyDescent="0.25">
      <c r="A541" s="9">
        <v>108</v>
      </c>
      <c r="B541" s="9">
        <v>7</v>
      </c>
      <c r="C541" s="9" t="s">
        <v>3099</v>
      </c>
      <c r="D541" s="7" t="s">
        <v>3626</v>
      </c>
      <c r="E541" s="7" t="s">
        <v>3590</v>
      </c>
      <c r="F541" s="9">
        <v>2</v>
      </c>
      <c r="G541" s="9" t="s">
        <v>2674</v>
      </c>
      <c r="H541" s="9" t="s">
        <v>2670</v>
      </c>
    </row>
    <row r="542" spans="1:8" x14ac:dyDescent="0.25">
      <c r="A542" s="9">
        <v>108</v>
      </c>
      <c r="B542" s="9">
        <v>7</v>
      </c>
      <c r="C542" s="9" t="s">
        <v>3099</v>
      </c>
      <c r="D542" s="7" t="s">
        <v>3616</v>
      </c>
      <c r="E542" s="7" t="s">
        <v>3590</v>
      </c>
      <c r="F542" s="9">
        <v>2</v>
      </c>
      <c r="G542" s="9" t="s">
        <v>2674</v>
      </c>
      <c r="H542" s="9" t="s">
        <v>2670</v>
      </c>
    </row>
    <row r="543" spans="1:8" x14ac:dyDescent="0.25">
      <c r="A543" s="9">
        <v>108</v>
      </c>
      <c r="B543" s="9">
        <v>7</v>
      </c>
      <c r="C543" s="9" t="s">
        <v>3099</v>
      </c>
      <c r="D543" s="7" t="s">
        <v>3631</v>
      </c>
      <c r="E543" s="7" t="s">
        <v>3590</v>
      </c>
      <c r="F543" s="9">
        <v>2</v>
      </c>
      <c r="G543" s="9" t="s">
        <v>2674</v>
      </c>
      <c r="H543" s="9" t="s">
        <v>2670</v>
      </c>
    </row>
    <row r="544" spans="1:8" x14ac:dyDescent="0.25">
      <c r="A544" s="9">
        <v>108</v>
      </c>
      <c r="B544" s="9">
        <v>7</v>
      </c>
      <c r="C544" s="9" t="s">
        <v>3099</v>
      </c>
      <c r="D544" s="7" t="s">
        <v>3632</v>
      </c>
      <c r="E544" s="7" t="s">
        <v>3590</v>
      </c>
      <c r="F544" s="9">
        <v>5</v>
      </c>
      <c r="G544" s="9" t="s">
        <v>2674</v>
      </c>
      <c r="H544" s="9" t="s">
        <v>2670</v>
      </c>
    </row>
    <row r="545" spans="1:8" x14ac:dyDescent="0.25">
      <c r="A545" s="9">
        <v>108</v>
      </c>
      <c r="B545" s="9">
        <v>7</v>
      </c>
      <c r="C545" s="9" t="s">
        <v>3099</v>
      </c>
      <c r="D545" s="7" t="s">
        <v>3615</v>
      </c>
      <c r="E545" s="7" t="s">
        <v>3590</v>
      </c>
      <c r="F545" s="9">
        <v>2</v>
      </c>
      <c r="G545" s="9" t="s">
        <v>2674</v>
      </c>
      <c r="H545" s="9" t="s">
        <v>2670</v>
      </c>
    </row>
    <row r="546" spans="1:8" x14ac:dyDescent="0.25">
      <c r="A546" s="9">
        <v>108</v>
      </c>
      <c r="B546" s="9">
        <v>7</v>
      </c>
      <c r="C546" s="9" t="s">
        <v>3099</v>
      </c>
      <c r="D546" s="7" t="s">
        <v>3651</v>
      </c>
      <c r="E546" s="7" t="s">
        <v>3590</v>
      </c>
      <c r="F546" s="9">
        <v>2</v>
      </c>
      <c r="G546" s="9" t="s">
        <v>2674</v>
      </c>
      <c r="H546" s="9" t="s">
        <v>2670</v>
      </c>
    </row>
    <row r="547" spans="1:8" x14ac:dyDescent="0.25">
      <c r="A547" s="9">
        <v>108</v>
      </c>
      <c r="B547" s="9">
        <v>7</v>
      </c>
      <c r="C547" s="9" t="s">
        <v>3099</v>
      </c>
      <c r="D547" s="7" t="s">
        <v>3633</v>
      </c>
      <c r="E547" s="7" t="s">
        <v>3590</v>
      </c>
      <c r="F547" s="9">
        <v>2</v>
      </c>
      <c r="G547" s="9" t="s">
        <v>2674</v>
      </c>
      <c r="H547" s="9" t="s">
        <v>2670</v>
      </c>
    </row>
    <row r="548" spans="1:8" x14ac:dyDescent="0.25">
      <c r="A548" s="9">
        <v>108</v>
      </c>
      <c r="B548" s="9">
        <v>7</v>
      </c>
      <c r="C548" s="9" t="s">
        <v>3099</v>
      </c>
      <c r="D548" s="7" t="s">
        <v>3621</v>
      </c>
      <c r="E548" s="7" t="s">
        <v>3590</v>
      </c>
      <c r="F548" s="9">
        <v>2</v>
      </c>
      <c r="G548" s="9" t="s">
        <v>2674</v>
      </c>
      <c r="H548" s="9" t="s">
        <v>2670</v>
      </c>
    </row>
    <row r="549" spans="1:8" x14ac:dyDescent="0.25">
      <c r="A549" s="9">
        <v>108</v>
      </c>
      <c r="B549" s="9">
        <v>7</v>
      </c>
      <c r="C549" s="9" t="s">
        <v>3099</v>
      </c>
      <c r="D549" s="7" t="s">
        <v>3613</v>
      </c>
      <c r="E549" s="7" t="s">
        <v>3590</v>
      </c>
      <c r="F549" s="9">
        <v>3</v>
      </c>
      <c r="G549" s="9" t="s">
        <v>2674</v>
      </c>
      <c r="H549" s="9" t="s">
        <v>2670</v>
      </c>
    </row>
    <row r="550" spans="1:8" x14ac:dyDescent="0.25">
      <c r="A550" s="9">
        <v>108</v>
      </c>
      <c r="B550" s="9">
        <v>7</v>
      </c>
      <c r="C550" s="9" t="s">
        <v>3099</v>
      </c>
      <c r="D550" s="7" t="s">
        <v>3624</v>
      </c>
      <c r="E550" s="7" t="s">
        <v>3590</v>
      </c>
      <c r="F550" s="9">
        <v>2</v>
      </c>
      <c r="G550" s="9" t="s">
        <v>2674</v>
      </c>
      <c r="H550" s="9" t="s">
        <v>2670</v>
      </c>
    </row>
    <row r="551" spans="1:8" x14ac:dyDescent="0.25">
      <c r="A551" s="9">
        <v>108</v>
      </c>
      <c r="B551" s="9">
        <v>7</v>
      </c>
      <c r="C551" s="9" t="s">
        <v>3099</v>
      </c>
      <c r="D551" s="7" t="s">
        <v>3623</v>
      </c>
      <c r="E551" s="7" t="s">
        <v>3590</v>
      </c>
      <c r="F551" s="9">
        <v>2</v>
      </c>
      <c r="G551" s="9" t="s">
        <v>2674</v>
      </c>
      <c r="H551" s="9" t="s">
        <v>2670</v>
      </c>
    </row>
    <row r="552" spans="1:8" x14ac:dyDescent="0.25">
      <c r="A552" s="9">
        <v>108</v>
      </c>
      <c r="B552" s="9">
        <v>7</v>
      </c>
      <c r="C552" s="9" t="s">
        <v>3099</v>
      </c>
      <c r="D552" s="7" t="s">
        <v>3648</v>
      </c>
      <c r="E552" s="7" t="s">
        <v>3590</v>
      </c>
      <c r="F552" s="9">
        <v>5</v>
      </c>
      <c r="G552" s="9" t="s">
        <v>2674</v>
      </c>
      <c r="H552" s="9" t="s">
        <v>2670</v>
      </c>
    </row>
    <row r="553" spans="1:8" x14ac:dyDescent="0.25">
      <c r="A553" s="9">
        <v>108</v>
      </c>
      <c r="B553" s="9">
        <v>7</v>
      </c>
      <c r="C553" s="9" t="s">
        <v>3099</v>
      </c>
      <c r="D553" s="7" t="s">
        <v>3636</v>
      </c>
      <c r="E553" s="7" t="s">
        <v>3590</v>
      </c>
      <c r="F553" s="9">
        <v>2</v>
      </c>
      <c r="G553" s="9" t="s">
        <v>2674</v>
      </c>
      <c r="H553" s="9" t="s">
        <v>2670</v>
      </c>
    </row>
    <row r="554" spans="1:8" x14ac:dyDescent="0.25">
      <c r="A554" s="9">
        <v>108</v>
      </c>
      <c r="B554" s="9">
        <v>7</v>
      </c>
      <c r="C554" s="9" t="s">
        <v>3099</v>
      </c>
      <c r="D554" s="7" t="s">
        <v>3614</v>
      </c>
      <c r="E554" s="7" t="s">
        <v>3590</v>
      </c>
      <c r="F554" s="9">
        <v>3</v>
      </c>
      <c r="G554" s="9" t="s">
        <v>2674</v>
      </c>
      <c r="H554" s="9" t="s">
        <v>2670</v>
      </c>
    </row>
    <row r="555" spans="1:8" x14ac:dyDescent="0.25">
      <c r="A555" s="9">
        <v>108</v>
      </c>
      <c r="B555" s="9">
        <v>7</v>
      </c>
      <c r="C555" s="9" t="s">
        <v>3099</v>
      </c>
      <c r="D555" s="7" t="s">
        <v>3643</v>
      </c>
      <c r="E555" s="7" t="s">
        <v>3590</v>
      </c>
      <c r="F555" s="9">
        <v>2</v>
      </c>
      <c r="G555" s="9" t="s">
        <v>2674</v>
      </c>
      <c r="H555" s="9" t="s">
        <v>2670</v>
      </c>
    </row>
    <row r="556" spans="1:8" x14ac:dyDescent="0.25">
      <c r="A556" s="9">
        <v>108</v>
      </c>
      <c r="B556" s="9">
        <v>7</v>
      </c>
      <c r="C556" s="9" t="s">
        <v>3099</v>
      </c>
      <c r="D556" s="7" t="s">
        <v>3609</v>
      </c>
      <c r="E556" s="7" t="s">
        <v>3590</v>
      </c>
      <c r="F556" s="9">
        <v>3</v>
      </c>
      <c r="G556" s="9" t="s">
        <v>2674</v>
      </c>
      <c r="H556" s="9" t="s">
        <v>2670</v>
      </c>
    </row>
    <row r="557" spans="1:8" x14ac:dyDescent="0.25">
      <c r="A557" s="9">
        <v>108</v>
      </c>
      <c r="B557" s="9">
        <v>7</v>
      </c>
      <c r="C557" s="9" t="s">
        <v>3099</v>
      </c>
      <c r="D557" s="7" t="s">
        <v>3612</v>
      </c>
      <c r="E557" s="7" t="s">
        <v>3590</v>
      </c>
      <c r="F557" s="9">
        <v>3</v>
      </c>
      <c r="G557" s="9" t="s">
        <v>2674</v>
      </c>
      <c r="H557" s="9" t="s">
        <v>2670</v>
      </c>
    </row>
    <row r="558" spans="1:8" x14ac:dyDescent="0.25">
      <c r="A558" s="9">
        <v>108</v>
      </c>
      <c r="B558" s="9">
        <v>7</v>
      </c>
      <c r="C558" s="9" t="s">
        <v>3099</v>
      </c>
      <c r="D558" s="7" t="s">
        <v>3608</v>
      </c>
      <c r="E558" s="7" t="s">
        <v>3590</v>
      </c>
      <c r="F558" s="9">
        <v>3</v>
      </c>
      <c r="G558" s="9" t="s">
        <v>2674</v>
      </c>
      <c r="H558" s="9" t="s">
        <v>2670</v>
      </c>
    </row>
    <row r="559" spans="1:8" x14ac:dyDescent="0.25">
      <c r="A559" s="9">
        <v>108</v>
      </c>
      <c r="B559" s="9">
        <v>7</v>
      </c>
      <c r="C559" s="9" t="s">
        <v>3099</v>
      </c>
      <c r="D559" s="7" t="s">
        <v>3618</v>
      </c>
      <c r="E559" s="7" t="s">
        <v>3590</v>
      </c>
      <c r="F559" s="9">
        <v>2</v>
      </c>
      <c r="G559" s="9" t="s">
        <v>2674</v>
      </c>
      <c r="H559" s="9" t="s">
        <v>2670</v>
      </c>
    </row>
    <row r="560" spans="1:8" x14ac:dyDescent="0.25">
      <c r="A560" s="9">
        <v>108</v>
      </c>
      <c r="B560" s="9">
        <v>7</v>
      </c>
      <c r="C560" s="9" t="s">
        <v>3099</v>
      </c>
      <c r="D560" s="7" t="s">
        <v>3650</v>
      </c>
      <c r="E560" s="7" t="s">
        <v>3590</v>
      </c>
      <c r="F560" s="9">
        <v>2</v>
      </c>
      <c r="G560" s="9" t="s">
        <v>2674</v>
      </c>
      <c r="H560" s="9" t="s">
        <v>2670</v>
      </c>
    </row>
    <row r="561" spans="1:8" x14ac:dyDescent="0.25">
      <c r="A561" s="9">
        <v>108</v>
      </c>
      <c r="B561" s="9">
        <v>7</v>
      </c>
      <c r="C561" s="9" t="s">
        <v>2995</v>
      </c>
      <c r="D561" s="7" t="s">
        <v>3016</v>
      </c>
      <c r="E561" s="7" t="s">
        <v>1830</v>
      </c>
      <c r="F561" s="9">
        <v>30</v>
      </c>
      <c r="G561" s="9" t="s">
        <v>2674</v>
      </c>
      <c r="H561" s="9" t="s">
        <v>2670</v>
      </c>
    </row>
    <row r="562" spans="1:8" x14ac:dyDescent="0.25">
      <c r="A562" s="9">
        <v>108</v>
      </c>
      <c r="B562" s="9">
        <v>7</v>
      </c>
      <c r="C562" s="9" t="s">
        <v>2995</v>
      </c>
      <c r="D562" s="7" t="s">
        <v>3587</v>
      </c>
      <c r="E562" s="7" t="s">
        <v>3590</v>
      </c>
      <c r="F562" s="9">
        <v>20</v>
      </c>
      <c r="G562" s="9" t="s">
        <v>2674</v>
      </c>
      <c r="H562" s="9" t="s">
        <v>2670</v>
      </c>
    </row>
    <row r="563" spans="1:8" x14ac:dyDescent="0.25">
      <c r="A563" s="9">
        <v>108</v>
      </c>
      <c r="B563" s="9">
        <v>7</v>
      </c>
      <c r="C563" s="9" t="s">
        <v>2995</v>
      </c>
      <c r="D563" s="7" t="s">
        <v>3602</v>
      </c>
      <c r="E563" s="7" t="s">
        <v>3590</v>
      </c>
      <c r="F563" s="9">
        <v>50</v>
      </c>
      <c r="G563" s="9" t="s">
        <v>2674</v>
      </c>
      <c r="H563" s="9" t="s">
        <v>2670</v>
      </c>
    </row>
    <row r="564" spans="1:8" x14ac:dyDescent="0.25">
      <c r="A564" s="9">
        <v>108</v>
      </c>
      <c r="B564" s="9">
        <v>7</v>
      </c>
      <c r="C564" s="9" t="s">
        <v>2995</v>
      </c>
      <c r="D564" s="7" t="s">
        <v>3588</v>
      </c>
      <c r="E564" s="7" t="s">
        <v>3590</v>
      </c>
      <c r="F564" s="9">
        <v>20</v>
      </c>
      <c r="G564" s="9" t="s">
        <v>2674</v>
      </c>
      <c r="H564" s="9" t="s">
        <v>2670</v>
      </c>
    </row>
    <row r="565" spans="1:8" x14ac:dyDescent="0.25">
      <c r="A565" s="9">
        <v>108</v>
      </c>
      <c r="B565" s="9">
        <v>7</v>
      </c>
      <c r="C565" s="9" t="s">
        <v>2995</v>
      </c>
      <c r="D565" s="7" t="s">
        <v>3591</v>
      </c>
      <c r="E565" s="7" t="s">
        <v>3590</v>
      </c>
      <c r="F565" s="9">
        <v>10</v>
      </c>
      <c r="G565" s="9" t="s">
        <v>2674</v>
      </c>
      <c r="H565" s="9" t="s">
        <v>2670</v>
      </c>
    </row>
    <row r="566" spans="1:8" x14ac:dyDescent="0.25">
      <c r="A566" s="9">
        <v>108</v>
      </c>
      <c r="B566" s="9">
        <v>7</v>
      </c>
      <c r="C566" s="9" t="s">
        <v>2995</v>
      </c>
      <c r="D566" s="7" t="s">
        <v>3605</v>
      </c>
      <c r="E566" s="7" t="s">
        <v>3590</v>
      </c>
      <c r="F566" s="9">
        <v>30</v>
      </c>
      <c r="G566" s="9" t="s">
        <v>2674</v>
      </c>
      <c r="H566" s="9" t="s">
        <v>2670</v>
      </c>
    </row>
    <row r="567" spans="1:8" x14ac:dyDescent="0.25">
      <c r="A567" s="9">
        <v>108</v>
      </c>
      <c r="B567" s="9">
        <v>7</v>
      </c>
      <c r="C567" s="9" t="s">
        <v>2995</v>
      </c>
      <c r="D567" s="7" t="s">
        <v>3597</v>
      </c>
      <c r="E567" s="7" t="s">
        <v>3590</v>
      </c>
      <c r="F567" s="9">
        <v>20</v>
      </c>
      <c r="G567" s="9" t="s">
        <v>2674</v>
      </c>
      <c r="H567" s="9" t="s">
        <v>2670</v>
      </c>
    </row>
    <row r="568" spans="1:8" x14ac:dyDescent="0.25">
      <c r="A568" s="9">
        <v>108</v>
      </c>
      <c r="B568" s="9">
        <v>7</v>
      </c>
      <c r="C568" s="9" t="s">
        <v>2995</v>
      </c>
      <c r="D568" s="7" t="s">
        <v>3604</v>
      </c>
      <c r="E568" s="7" t="s">
        <v>3590</v>
      </c>
      <c r="F568" s="9">
        <v>20</v>
      </c>
      <c r="G568" s="9" t="s">
        <v>2674</v>
      </c>
      <c r="H568" s="9" t="s">
        <v>2670</v>
      </c>
    </row>
    <row r="569" spans="1:8" x14ac:dyDescent="0.25">
      <c r="A569" s="9">
        <v>108</v>
      </c>
      <c r="B569" s="9">
        <v>7</v>
      </c>
      <c r="C569" s="9" t="s">
        <v>2995</v>
      </c>
      <c r="D569" s="7" t="s">
        <v>3595</v>
      </c>
      <c r="E569" s="7" t="s">
        <v>3590</v>
      </c>
      <c r="F569" s="9">
        <v>20</v>
      </c>
      <c r="G569" s="9" t="s">
        <v>2674</v>
      </c>
      <c r="H569" s="9" t="s">
        <v>2670</v>
      </c>
    </row>
    <row r="570" spans="1:8" x14ac:dyDescent="0.25">
      <c r="A570" s="9">
        <v>108</v>
      </c>
      <c r="B570" s="9">
        <v>7</v>
      </c>
      <c r="C570" s="9" t="s">
        <v>2995</v>
      </c>
      <c r="D570" s="7" t="s">
        <v>3603</v>
      </c>
      <c r="E570" s="7" t="s">
        <v>3590</v>
      </c>
      <c r="F570" s="9">
        <v>20</v>
      </c>
      <c r="G570" s="9" t="s">
        <v>2674</v>
      </c>
      <c r="H570" s="9" t="s">
        <v>2670</v>
      </c>
    </row>
    <row r="571" spans="1:8" x14ac:dyDescent="0.25">
      <c r="A571" s="9">
        <v>108</v>
      </c>
      <c r="B571" s="9">
        <v>7</v>
      </c>
      <c r="C571" s="9" t="s">
        <v>2995</v>
      </c>
      <c r="D571" s="7" t="s">
        <v>3592</v>
      </c>
      <c r="E571" s="7" t="s">
        <v>3590</v>
      </c>
      <c r="F571" s="9">
        <v>20</v>
      </c>
      <c r="G571" s="9" t="s">
        <v>2674</v>
      </c>
      <c r="H571" s="9" t="s">
        <v>2670</v>
      </c>
    </row>
    <row r="572" spans="1:8" x14ac:dyDescent="0.25">
      <c r="A572" s="9">
        <v>108</v>
      </c>
      <c r="B572" s="9">
        <v>7</v>
      </c>
      <c r="C572" s="9" t="s">
        <v>2995</v>
      </c>
      <c r="D572" s="7" t="s">
        <v>3019</v>
      </c>
      <c r="E572" s="7" t="s">
        <v>3489</v>
      </c>
      <c r="F572" s="9">
        <v>99.156999999999996</v>
      </c>
      <c r="G572" s="9" t="s">
        <v>2674</v>
      </c>
      <c r="H572" s="9" t="s">
        <v>2670</v>
      </c>
    </row>
    <row r="573" spans="1:8" x14ac:dyDescent="0.25">
      <c r="A573" s="9">
        <v>108</v>
      </c>
      <c r="B573" s="9">
        <v>7</v>
      </c>
      <c r="C573" s="9" t="s">
        <v>2995</v>
      </c>
      <c r="D573" s="7" t="s">
        <v>3017</v>
      </c>
      <c r="E573" s="7" t="s">
        <v>1835</v>
      </c>
      <c r="F573" s="9">
        <v>40</v>
      </c>
      <c r="G573" s="9" t="s">
        <v>2674</v>
      </c>
      <c r="H573" s="9" t="s">
        <v>2670</v>
      </c>
    </row>
    <row r="574" spans="1:8" x14ac:dyDescent="0.25">
      <c r="A574" s="9">
        <v>108</v>
      </c>
      <c r="B574" s="9">
        <v>7</v>
      </c>
      <c r="C574" s="9" t="s">
        <v>2995</v>
      </c>
      <c r="D574" s="7" t="s">
        <v>3005</v>
      </c>
      <c r="E574" s="7" t="s">
        <v>1771</v>
      </c>
      <c r="F574" s="9">
        <v>30</v>
      </c>
      <c r="G574" s="9" t="s">
        <v>2674</v>
      </c>
      <c r="H574" s="9" t="s">
        <v>2670</v>
      </c>
    </row>
    <row r="575" spans="1:8" x14ac:dyDescent="0.25">
      <c r="A575" s="9">
        <v>108</v>
      </c>
      <c r="B575" s="9">
        <v>7</v>
      </c>
      <c r="C575" s="9" t="s">
        <v>2995</v>
      </c>
      <c r="D575" s="7" t="s">
        <v>3023</v>
      </c>
      <c r="E575" s="7" t="s">
        <v>1869</v>
      </c>
      <c r="F575" s="9">
        <v>40</v>
      </c>
      <c r="G575" s="9" t="s">
        <v>2674</v>
      </c>
      <c r="H575" s="9" t="s">
        <v>2670</v>
      </c>
    </row>
    <row r="576" spans="1:8" x14ac:dyDescent="0.25">
      <c r="A576" s="9">
        <v>108</v>
      </c>
      <c r="B576" s="9">
        <v>7</v>
      </c>
      <c r="C576" s="9" t="s">
        <v>2995</v>
      </c>
      <c r="D576" s="7" t="s">
        <v>3004</v>
      </c>
      <c r="E576" s="7" t="s">
        <v>1763</v>
      </c>
      <c r="F576" s="9">
        <v>50</v>
      </c>
      <c r="G576" s="9" t="s">
        <v>2674</v>
      </c>
      <c r="H576" s="9" t="s">
        <v>2670</v>
      </c>
    </row>
    <row r="577" spans="1:8" x14ac:dyDescent="0.25">
      <c r="A577" s="9">
        <v>108</v>
      </c>
      <c r="B577" s="9">
        <v>7</v>
      </c>
      <c r="C577" s="9" t="s">
        <v>2995</v>
      </c>
      <c r="D577" s="7" t="s">
        <v>3004</v>
      </c>
      <c r="E577" s="7" t="s">
        <v>1768</v>
      </c>
      <c r="F577" s="9">
        <v>40</v>
      </c>
      <c r="G577" s="9" t="s">
        <v>2674</v>
      </c>
      <c r="H577" s="9" t="s">
        <v>2670</v>
      </c>
    </row>
    <row r="578" spans="1:8" x14ac:dyDescent="0.25">
      <c r="A578" s="9">
        <v>108</v>
      </c>
      <c r="B578" s="9">
        <v>7</v>
      </c>
      <c r="C578" s="9" t="s">
        <v>2995</v>
      </c>
      <c r="D578" s="7" t="s">
        <v>3004</v>
      </c>
      <c r="E578" s="7" t="s">
        <v>1866</v>
      </c>
      <c r="F578" s="9">
        <v>40</v>
      </c>
      <c r="G578" s="9" t="s">
        <v>2674</v>
      </c>
      <c r="H578" s="9" t="s">
        <v>2670</v>
      </c>
    </row>
    <row r="579" spans="1:8" x14ac:dyDescent="0.25">
      <c r="A579" s="9">
        <v>108</v>
      </c>
      <c r="B579" s="9">
        <v>7</v>
      </c>
      <c r="C579" s="9" t="s">
        <v>2995</v>
      </c>
      <c r="D579" s="7" t="s">
        <v>3009</v>
      </c>
      <c r="E579" s="7" t="s">
        <v>1791</v>
      </c>
      <c r="F579" s="9">
        <v>30</v>
      </c>
      <c r="G579" s="9" t="s">
        <v>2674</v>
      </c>
      <c r="H579" s="9" t="s">
        <v>2670</v>
      </c>
    </row>
    <row r="580" spans="1:8" x14ac:dyDescent="0.25">
      <c r="A580" s="9">
        <v>108</v>
      </c>
      <c r="B580" s="9">
        <v>7</v>
      </c>
      <c r="C580" s="9" t="s">
        <v>2995</v>
      </c>
      <c r="D580" s="7" t="s">
        <v>3009</v>
      </c>
      <c r="E580" s="7" t="s">
        <v>1796</v>
      </c>
      <c r="F580" s="9">
        <v>50</v>
      </c>
      <c r="G580" s="9" t="s">
        <v>2674</v>
      </c>
      <c r="H580" s="9" t="s">
        <v>2670</v>
      </c>
    </row>
    <row r="581" spans="1:8" x14ac:dyDescent="0.25">
      <c r="A581" s="9">
        <v>108</v>
      </c>
      <c r="B581" s="9">
        <v>7</v>
      </c>
      <c r="C581" s="9" t="s">
        <v>2995</v>
      </c>
      <c r="D581" s="7" t="s">
        <v>3001</v>
      </c>
      <c r="E581" s="7" t="s">
        <v>1746</v>
      </c>
      <c r="F581" s="9">
        <v>20</v>
      </c>
      <c r="G581" s="9" t="s">
        <v>2674</v>
      </c>
      <c r="H581" s="9" t="s">
        <v>2670</v>
      </c>
    </row>
    <row r="582" spans="1:8" x14ac:dyDescent="0.25">
      <c r="A582" s="9">
        <v>108</v>
      </c>
      <c r="B582" s="9">
        <v>7</v>
      </c>
      <c r="C582" s="9" t="s">
        <v>2995</v>
      </c>
      <c r="D582" s="7" t="s">
        <v>3008</v>
      </c>
      <c r="E582" s="7" t="s">
        <v>1786</v>
      </c>
      <c r="F582" s="9">
        <v>50</v>
      </c>
      <c r="G582" s="9" t="s">
        <v>2674</v>
      </c>
      <c r="H582" s="9" t="s">
        <v>2670</v>
      </c>
    </row>
    <row r="583" spans="1:8" x14ac:dyDescent="0.25">
      <c r="A583" s="9">
        <v>108</v>
      </c>
      <c r="B583" s="9">
        <v>7</v>
      </c>
      <c r="C583" s="9" t="s">
        <v>2995</v>
      </c>
      <c r="D583" s="7" t="s">
        <v>2996</v>
      </c>
      <c r="E583" s="7" t="s">
        <v>1720</v>
      </c>
      <c r="F583" s="9">
        <v>50</v>
      </c>
      <c r="G583" s="9" t="s">
        <v>2674</v>
      </c>
      <c r="H583" s="9" t="s">
        <v>2670</v>
      </c>
    </row>
    <row r="584" spans="1:8" x14ac:dyDescent="0.25">
      <c r="A584" s="9">
        <v>108</v>
      </c>
      <c r="B584" s="9">
        <v>7</v>
      </c>
      <c r="C584" s="9" t="s">
        <v>2995</v>
      </c>
      <c r="D584" s="7" t="s">
        <v>3022</v>
      </c>
      <c r="E584" s="7" t="s">
        <v>1861</v>
      </c>
      <c r="F584" s="9">
        <v>30</v>
      </c>
      <c r="G584" s="9" t="s">
        <v>2674</v>
      </c>
      <c r="H584" s="9" t="s">
        <v>2670</v>
      </c>
    </row>
    <row r="585" spans="1:8" x14ac:dyDescent="0.25">
      <c r="A585" s="9">
        <v>108</v>
      </c>
      <c r="B585" s="9">
        <v>7</v>
      </c>
      <c r="C585" s="9" t="s">
        <v>2995</v>
      </c>
      <c r="D585" s="7" t="s">
        <v>3015</v>
      </c>
      <c r="E585" s="7" t="s">
        <v>1825</v>
      </c>
      <c r="F585" s="9">
        <v>50</v>
      </c>
      <c r="G585" s="9" t="s">
        <v>2674</v>
      </c>
      <c r="H585" s="9" t="s">
        <v>2670</v>
      </c>
    </row>
    <row r="586" spans="1:8" x14ac:dyDescent="0.25">
      <c r="A586" s="9">
        <v>108</v>
      </c>
      <c r="B586" s="9">
        <v>7</v>
      </c>
      <c r="C586" s="9" t="s">
        <v>2995</v>
      </c>
      <c r="D586" s="7" t="s">
        <v>3002</v>
      </c>
      <c r="E586" s="7" t="s">
        <v>1751</v>
      </c>
      <c r="F586" s="9">
        <v>30</v>
      </c>
      <c r="G586" s="9" t="s">
        <v>2674</v>
      </c>
      <c r="H586" s="9" t="s">
        <v>2670</v>
      </c>
    </row>
    <row r="587" spans="1:8" x14ac:dyDescent="0.25">
      <c r="A587" s="9">
        <v>108</v>
      </c>
      <c r="B587" s="9">
        <v>7</v>
      </c>
      <c r="C587" s="9" t="s">
        <v>2995</v>
      </c>
      <c r="D587" s="7" t="s">
        <v>3002</v>
      </c>
      <c r="E587" s="7" t="s">
        <v>3491</v>
      </c>
      <c r="F587" s="9">
        <v>27.782</v>
      </c>
      <c r="G587" s="9" t="s">
        <v>2674</v>
      </c>
      <c r="H587" s="9" t="s">
        <v>2670</v>
      </c>
    </row>
    <row r="588" spans="1:8" x14ac:dyDescent="0.25">
      <c r="A588" s="9">
        <v>108</v>
      </c>
      <c r="B588" s="9">
        <v>7</v>
      </c>
      <c r="C588" s="9" t="s">
        <v>2995</v>
      </c>
      <c r="D588" s="7" t="s">
        <v>2999</v>
      </c>
      <c r="E588" s="7" t="s">
        <v>1736</v>
      </c>
      <c r="F588" s="9">
        <v>30</v>
      </c>
      <c r="G588" s="9" t="s">
        <v>2674</v>
      </c>
      <c r="H588" s="9" t="s">
        <v>2670</v>
      </c>
    </row>
    <row r="589" spans="1:8" x14ac:dyDescent="0.25">
      <c r="A589" s="9">
        <v>108</v>
      </c>
      <c r="B589" s="9">
        <v>7</v>
      </c>
      <c r="C589" s="9" t="s">
        <v>2995</v>
      </c>
      <c r="D589" s="7" t="s">
        <v>3000</v>
      </c>
      <c r="E589" s="7" t="s">
        <v>1741</v>
      </c>
      <c r="F589" s="9">
        <v>30</v>
      </c>
      <c r="G589" s="9" t="s">
        <v>2674</v>
      </c>
      <c r="H589" s="9" t="s">
        <v>2670</v>
      </c>
    </row>
    <row r="590" spans="1:8" x14ac:dyDescent="0.25">
      <c r="A590" s="9">
        <v>108</v>
      </c>
      <c r="B590" s="9">
        <v>7</v>
      </c>
      <c r="C590" s="9" t="s">
        <v>2995</v>
      </c>
      <c r="D590" s="7" t="s">
        <v>3010</v>
      </c>
      <c r="E590" s="7" t="s">
        <v>1799</v>
      </c>
      <c r="F590" s="9">
        <v>20</v>
      </c>
      <c r="G590" s="9" t="s">
        <v>2674</v>
      </c>
      <c r="H590" s="9" t="s">
        <v>2670</v>
      </c>
    </row>
    <row r="591" spans="1:8" x14ac:dyDescent="0.25">
      <c r="A591" s="9">
        <v>108</v>
      </c>
      <c r="B591" s="9">
        <v>7</v>
      </c>
      <c r="C591" s="9" t="s">
        <v>2995</v>
      </c>
      <c r="D591" s="7" t="s">
        <v>3011</v>
      </c>
      <c r="E591" s="7" t="s">
        <v>3490</v>
      </c>
      <c r="F591" s="9">
        <v>20</v>
      </c>
      <c r="G591" s="9" t="s">
        <v>2674</v>
      </c>
      <c r="H591" s="9" t="s">
        <v>2670</v>
      </c>
    </row>
    <row r="592" spans="1:8" x14ac:dyDescent="0.25">
      <c r="A592" s="9">
        <v>108</v>
      </c>
      <c r="B592" s="9">
        <v>7</v>
      </c>
      <c r="C592" s="9" t="s">
        <v>2995</v>
      </c>
      <c r="D592" s="7" t="s">
        <v>3018</v>
      </c>
      <c r="E592" s="7" t="s">
        <v>1840</v>
      </c>
      <c r="F592" s="9">
        <v>20</v>
      </c>
      <c r="G592" s="9" t="s">
        <v>2674</v>
      </c>
      <c r="H592" s="9" t="s">
        <v>2670</v>
      </c>
    </row>
    <row r="593" spans="1:8" x14ac:dyDescent="0.25">
      <c r="A593" s="9">
        <v>108</v>
      </c>
      <c r="B593" s="9">
        <v>7</v>
      </c>
      <c r="C593" s="9" t="s">
        <v>2995</v>
      </c>
      <c r="D593" s="7" t="s">
        <v>2998</v>
      </c>
      <c r="E593" s="7" t="s">
        <v>1730</v>
      </c>
      <c r="F593" s="9">
        <v>20</v>
      </c>
      <c r="G593" s="9" t="s">
        <v>2674</v>
      </c>
      <c r="H593" s="9" t="s">
        <v>2670</v>
      </c>
    </row>
    <row r="594" spans="1:8" x14ac:dyDescent="0.25">
      <c r="A594" s="9">
        <v>108</v>
      </c>
      <c r="B594" s="9">
        <v>7</v>
      </c>
      <c r="C594" s="9" t="s">
        <v>2995</v>
      </c>
      <c r="D594" s="7" t="s">
        <v>3014</v>
      </c>
      <c r="E594" s="7" t="s">
        <v>1820</v>
      </c>
      <c r="F594" s="9">
        <v>20</v>
      </c>
      <c r="G594" s="9" t="s">
        <v>2674</v>
      </c>
      <c r="H594" s="9" t="s">
        <v>2670</v>
      </c>
    </row>
    <row r="595" spans="1:8" x14ac:dyDescent="0.25">
      <c r="A595" s="9">
        <v>108</v>
      </c>
      <c r="B595" s="9">
        <v>7</v>
      </c>
      <c r="C595" s="9" t="s">
        <v>2995</v>
      </c>
      <c r="D595" s="7" t="s">
        <v>3012</v>
      </c>
      <c r="E595" s="7" t="s">
        <v>1810</v>
      </c>
      <c r="F595" s="9">
        <v>20</v>
      </c>
      <c r="G595" s="9" t="s">
        <v>2674</v>
      </c>
      <c r="H595" s="9" t="s">
        <v>2670</v>
      </c>
    </row>
    <row r="596" spans="1:8" x14ac:dyDescent="0.25">
      <c r="A596" s="9">
        <v>108</v>
      </c>
      <c r="B596" s="9">
        <v>7</v>
      </c>
      <c r="C596" s="9" t="s">
        <v>2995</v>
      </c>
      <c r="D596" s="7" t="s">
        <v>2997</v>
      </c>
      <c r="E596" s="7" t="s">
        <v>1725</v>
      </c>
      <c r="F596" s="9">
        <v>40</v>
      </c>
      <c r="G596" s="9" t="s">
        <v>2674</v>
      </c>
      <c r="H596" s="9" t="s">
        <v>2670</v>
      </c>
    </row>
    <row r="597" spans="1:8" x14ac:dyDescent="0.25">
      <c r="A597" s="9">
        <v>108</v>
      </c>
      <c r="B597" s="9">
        <v>7</v>
      </c>
      <c r="C597" s="9" t="s">
        <v>2995</v>
      </c>
      <c r="D597" s="7" t="s">
        <v>3013</v>
      </c>
      <c r="E597" s="7" t="s">
        <v>1815</v>
      </c>
      <c r="F597" s="9">
        <v>20</v>
      </c>
      <c r="G597" s="9" t="s">
        <v>2674</v>
      </c>
      <c r="H597" s="9" t="s">
        <v>2670</v>
      </c>
    </row>
    <row r="598" spans="1:8" x14ac:dyDescent="0.25">
      <c r="A598" s="9">
        <v>108</v>
      </c>
      <c r="B598" s="9">
        <v>7</v>
      </c>
      <c r="C598" s="9" t="s">
        <v>2995</v>
      </c>
      <c r="D598" s="7" t="s">
        <v>3021</v>
      </c>
      <c r="E598" s="7" t="s">
        <v>1855</v>
      </c>
      <c r="F598" s="9">
        <v>20</v>
      </c>
      <c r="G598" s="9" t="s">
        <v>2674</v>
      </c>
      <c r="H598" s="9" t="s">
        <v>2670</v>
      </c>
    </row>
    <row r="599" spans="1:8" x14ac:dyDescent="0.25">
      <c r="A599" s="9">
        <v>108</v>
      </c>
      <c r="B599" s="9">
        <v>7</v>
      </c>
      <c r="C599" s="9" t="s">
        <v>2995</v>
      </c>
      <c r="D599" s="7" t="s">
        <v>3020</v>
      </c>
      <c r="E599" s="7" t="s">
        <v>1850</v>
      </c>
      <c r="F599" s="9">
        <v>20</v>
      </c>
      <c r="G599" s="9" t="s">
        <v>2674</v>
      </c>
      <c r="H599" s="9" t="s">
        <v>2670</v>
      </c>
    </row>
    <row r="600" spans="1:8" x14ac:dyDescent="0.25">
      <c r="A600" s="9">
        <v>108</v>
      </c>
      <c r="B600" s="9">
        <v>7</v>
      </c>
      <c r="C600" s="9" t="s">
        <v>2995</v>
      </c>
      <c r="D600" s="7" t="s">
        <v>3006</v>
      </c>
      <c r="E600" s="7" t="s">
        <v>1776</v>
      </c>
      <c r="F600" s="9">
        <v>50</v>
      </c>
      <c r="G600" s="9" t="s">
        <v>2674</v>
      </c>
      <c r="H600" s="9" t="s">
        <v>2670</v>
      </c>
    </row>
    <row r="601" spans="1:8" x14ac:dyDescent="0.25">
      <c r="A601" s="9">
        <v>108</v>
      </c>
      <c r="B601" s="9">
        <v>7</v>
      </c>
      <c r="C601" s="9" t="s">
        <v>2995</v>
      </c>
      <c r="D601" s="7" t="s">
        <v>3003</v>
      </c>
      <c r="E601" s="7" t="s">
        <v>1758</v>
      </c>
      <c r="F601" s="9">
        <v>20</v>
      </c>
      <c r="G601" s="9" t="s">
        <v>2674</v>
      </c>
      <c r="H601" s="9" t="s">
        <v>2670</v>
      </c>
    </row>
    <row r="602" spans="1:8" x14ac:dyDescent="0.25">
      <c r="A602" s="9">
        <v>108</v>
      </c>
      <c r="B602" s="9">
        <v>7</v>
      </c>
      <c r="C602" s="9" t="s">
        <v>2995</v>
      </c>
      <c r="D602" s="7" t="s">
        <v>3007</v>
      </c>
      <c r="E602" s="7" t="s">
        <v>1781</v>
      </c>
      <c r="F602" s="9">
        <v>20</v>
      </c>
      <c r="G602" s="9" t="s">
        <v>2674</v>
      </c>
      <c r="H602" s="9" t="s">
        <v>2670</v>
      </c>
    </row>
    <row r="603" spans="1:8" x14ac:dyDescent="0.25">
      <c r="A603" s="9">
        <v>108</v>
      </c>
      <c r="B603" s="9">
        <v>7</v>
      </c>
      <c r="C603" s="9" t="s">
        <v>2995</v>
      </c>
      <c r="D603" s="7" t="s">
        <v>3598</v>
      </c>
      <c r="E603" s="7" t="s">
        <v>3590</v>
      </c>
      <c r="F603" s="9">
        <v>20</v>
      </c>
      <c r="G603" s="9" t="s">
        <v>2674</v>
      </c>
      <c r="H603" s="9" t="s">
        <v>2670</v>
      </c>
    </row>
    <row r="604" spans="1:8" x14ac:dyDescent="0.25">
      <c r="A604" s="9">
        <v>108</v>
      </c>
      <c r="B604" s="9">
        <v>7</v>
      </c>
      <c r="C604" s="9" t="s">
        <v>2995</v>
      </c>
      <c r="D604" s="7" t="s">
        <v>3599</v>
      </c>
      <c r="E604" s="7" t="s">
        <v>3590</v>
      </c>
      <c r="F604" s="9">
        <v>20</v>
      </c>
      <c r="G604" s="9" t="s">
        <v>2674</v>
      </c>
      <c r="H604" s="9" t="s">
        <v>2670</v>
      </c>
    </row>
    <row r="605" spans="1:8" x14ac:dyDescent="0.25">
      <c r="A605" s="9">
        <v>108</v>
      </c>
      <c r="B605" s="9">
        <v>7</v>
      </c>
      <c r="C605" s="9" t="s">
        <v>2995</v>
      </c>
      <c r="D605" s="7" t="s">
        <v>3589</v>
      </c>
      <c r="E605" s="7" t="s">
        <v>3590</v>
      </c>
      <c r="F605" s="9">
        <v>10</v>
      </c>
      <c r="G605" s="9" t="s">
        <v>2674</v>
      </c>
      <c r="H605" s="9" t="s">
        <v>2670</v>
      </c>
    </row>
    <row r="606" spans="1:8" x14ac:dyDescent="0.25">
      <c r="A606" s="9">
        <v>108</v>
      </c>
      <c r="B606" s="9">
        <v>7</v>
      </c>
      <c r="C606" s="9" t="s">
        <v>2995</v>
      </c>
      <c r="D606" s="7" t="s">
        <v>3593</v>
      </c>
      <c r="E606" s="7" t="s">
        <v>3590</v>
      </c>
      <c r="F606" s="9">
        <v>20</v>
      </c>
      <c r="G606" s="9" t="s">
        <v>2674</v>
      </c>
      <c r="H606" s="9" t="s">
        <v>2670</v>
      </c>
    </row>
    <row r="607" spans="1:8" x14ac:dyDescent="0.25">
      <c r="A607" s="9">
        <v>108</v>
      </c>
      <c r="B607" s="9">
        <v>7</v>
      </c>
      <c r="C607" s="9" t="s">
        <v>2995</v>
      </c>
      <c r="D607" s="7" t="s">
        <v>3594</v>
      </c>
      <c r="E607" s="7" t="s">
        <v>3590</v>
      </c>
      <c r="F607" s="9">
        <v>20</v>
      </c>
      <c r="G607" s="9" t="s">
        <v>2674</v>
      </c>
      <c r="H607" s="9" t="s">
        <v>2670</v>
      </c>
    </row>
    <row r="608" spans="1:8" x14ac:dyDescent="0.25">
      <c r="A608" s="9">
        <v>108</v>
      </c>
      <c r="B608" s="9">
        <v>7</v>
      </c>
      <c r="C608" s="9" t="s">
        <v>2995</v>
      </c>
      <c r="D608" s="7" t="s">
        <v>3596</v>
      </c>
      <c r="E608" s="7" t="s">
        <v>3590</v>
      </c>
      <c r="F608" s="9">
        <v>20</v>
      </c>
      <c r="G608" s="9" t="s">
        <v>2674</v>
      </c>
      <c r="H608" s="9" t="s">
        <v>2670</v>
      </c>
    </row>
    <row r="609" spans="1:8" x14ac:dyDescent="0.25">
      <c r="A609" s="9">
        <v>108</v>
      </c>
      <c r="B609" s="9">
        <v>7</v>
      </c>
      <c r="C609" s="9" t="s">
        <v>2995</v>
      </c>
      <c r="D609" s="7" t="s">
        <v>3600</v>
      </c>
      <c r="E609" s="7" t="s">
        <v>3590</v>
      </c>
      <c r="F609" s="9">
        <v>10</v>
      </c>
      <c r="G609" s="9" t="s">
        <v>2674</v>
      </c>
      <c r="H609" s="9" t="s">
        <v>2670</v>
      </c>
    </row>
    <row r="610" spans="1:8" x14ac:dyDescent="0.25">
      <c r="A610" s="9">
        <v>108</v>
      </c>
      <c r="B610" s="9">
        <v>7</v>
      </c>
      <c r="C610" s="9" t="s">
        <v>2995</v>
      </c>
      <c r="D610" s="7" t="s">
        <v>3601</v>
      </c>
      <c r="E610" s="7" t="s">
        <v>3590</v>
      </c>
      <c r="F610" s="9">
        <v>10</v>
      </c>
      <c r="G610" s="9" t="s">
        <v>2674</v>
      </c>
      <c r="H610" s="9" t="s">
        <v>2670</v>
      </c>
    </row>
    <row r="611" spans="1:8" customFormat="1" ht="16.149999999999999" hidden="1" x14ac:dyDescent="0.3">
      <c r="A611" s="3">
        <v>108</v>
      </c>
      <c r="B611" s="3">
        <v>7</v>
      </c>
      <c r="C611" s="3" t="s">
        <v>2946</v>
      </c>
      <c r="D611" s="4" t="s">
        <v>2947</v>
      </c>
      <c r="E611" s="4" t="s">
        <v>1302</v>
      </c>
      <c r="F611" s="3">
        <v>20</v>
      </c>
      <c r="G611" s="3" t="s">
        <v>2674</v>
      </c>
      <c r="H611" s="3" t="s">
        <v>3122</v>
      </c>
    </row>
    <row r="612" spans="1:8" customFormat="1" ht="16.149999999999999" hidden="1" x14ac:dyDescent="0.3">
      <c r="A612" s="3">
        <v>108</v>
      </c>
      <c r="B612" s="3">
        <v>7</v>
      </c>
      <c r="C612" s="3" t="s">
        <v>2946</v>
      </c>
      <c r="D612" s="4" t="s">
        <v>2948</v>
      </c>
      <c r="E612" s="4" t="s">
        <v>1307</v>
      </c>
      <c r="F612" s="3">
        <v>20</v>
      </c>
      <c r="G612" s="3" t="s">
        <v>2674</v>
      </c>
      <c r="H612" s="3" t="s">
        <v>3122</v>
      </c>
    </row>
    <row r="613" spans="1:8" customFormat="1" ht="16.149999999999999" hidden="1" x14ac:dyDescent="0.3">
      <c r="A613" s="3">
        <v>108</v>
      </c>
      <c r="B613" s="3">
        <v>7</v>
      </c>
      <c r="C613" s="3" t="s">
        <v>2946</v>
      </c>
      <c r="D613" s="4" t="s">
        <v>2948</v>
      </c>
      <c r="E613" s="4" t="s">
        <v>1311</v>
      </c>
      <c r="F613" s="3">
        <v>20</v>
      </c>
      <c r="G613" s="3" t="s">
        <v>2674</v>
      </c>
      <c r="H613" s="3" t="s">
        <v>3122</v>
      </c>
    </row>
    <row r="614" spans="1:8" customFormat="1" ht="16.149999999999999" hidden="1" x14ac:dyDescent="0.3">
      <c r="A614" s="3">
        <v>108</v>
      </c>
      <c r="B614" s="3">
        <v>7</v>
      </c>
      <c r="C614" s="3" t="s">
        <v>2937</v>
      </c>
      <c r="D614" s="4" t="s">
        <v>1240</v>
      </c>
      <c r="E614" s="4" t="s">
        <v>1241</v>
      </c>
      <c r="F614" s="3">
        <v>20</v>
      </c>
      <c r="G614" s="3" t="s">
        <v>2674</v>
      </c>
      <c r="H614" s="3" t="s">
        <v>3128</v>
      </c>
    </row>
    <row r="615" spans="1:8" x14ac:dyDescent="0.25">
      <c r="A615" s="9">
        <v>108</v>
      </c>
      <c r="B615" s="9">
        <v>7</v>
      </c>
      <c r="C615" s="9" t="s">
        <v>2937</v>
      </c>
      <c r="D615" s="7" t="s">
        <v>2938</v>
      </c>
      <c r="E615" s="7" t="s">
        <v>3454</v>
      </c>
      <c r="F615" s="9">
        <v>50</v>
      </c>
      <c r="G615" s="9" t="s">
        <v>2674</v>
      </c>
      <c r="H615" s="9" t="s">
        <v>3128</v>
      </c>
    </row>
    <row r="616" spans="1:8" ht="33" x14ac:dyDescent="0.25">
      <c r="A616" s="9">
        <v>108</v>
      </c>
      <c r="B616" s="9">
        <v>7</v>
      </c>
      <c r="C616" s="9" t="s">
        <v>2937</v>
      </c>
      <c r="D616" s="7" t="s">
        <v>2938</v>
      </c>
      <c r="E616" s="7" t="s">
        <v>3456</v>
      </c>
      <c r="F616" s="9">
        <v>50</v>
      </c>
      <c r="G616" s="9" t="s">
        <v>2674</v>
      </c>
      <c r="H616" s="9" t="s">
        <v>3128</v>
      </c>
    </row>
    <row r="617" spans="1:8" customFormat="1" ht="16.149999999999999" hidden="1" x14ac:dyDescent="0.3">
      <c r="A617" s="3">
        <v>108</v>
      </c>
      <c r="B617" s="3">
        <v>7</v>
      </c>
      <c r="C617" s="3" t="s">
        <v>2937</v>
      </c>
      <c r="D617" s="4" t="s">
        <v>3357</v>
      </c>
      <c r="E617" s="4" t="s">
        <v>3453</v>
      </c>
      <c r="F617" s="3">
        <v>50</v>
      </c>
      <c r="G617" s="3" t="s">
        <v>2674</v>
      </c>
      <c r="H617" s="3" t="s">
        <v>3128</v>
      </c>
    </row>
    <row r="618" spans="1:8" customFormat="1" ht="16.149999999999999" hidden="1" x14ac:dyDescent="0.3">
      <c r="A618" s="3">
        <v>108</v>
      </c>
      <c r="B618" s="3">
        <v>7</v>
      </c>
      <c r="C618" s="3" t="s">
        <v>2937</v>
      </c>
      <c r="D618" s="4" t="s">
        <v>1234</v>
      </c>
      <c r="E618" s="4" t="s">
        <v>3452</v>
      </c>
      <c r="F618" s="3">
        <v>20</v>
      </c>
      <c r="G618" s="3" t="s">
        <v>2674</v>
      </c>
      <c r="H618" s="3" t="s">
        <v>3128</v>
      </c>
    </row>
    <row r="619" spans="1:8" x14ac:dyDescent="0.25">
      <c r="A619" s="9">
        <v>108</v>
      </c>
      <c r="B619" s="9">
        <v>7</v>
      </c>
      <c r="C619" s="9" t="s">
        <v>2937</v>
      </c>
      <c r="D619" s="7" t="s">
        <v>2939</v>
      </c>
      <c r="E619" s="7" t="s">
        <v>3457</v>
      </c>
      <c r="F619" s="9">
        <v>30</v>
      </c>
      <c r="G619" s="9" t="s">
        <v>2674</v>
      </c>
      <c r="H619" s="9" t="s">
        <v>3128</v>
      </c>
    </row>
    <row r="620" spans="1:8" customFormat="1" ht="16.149999999999999" hidden="1" x14ac:dyDescent="0.3">
      <c r="A620" s="3">
        <v>108</v>
      </c>
      <c r="B620" s="3">
        <v>7</v>
      </c>
      <c r="C620" s="3" t="s">
        <v>2937</v>
      </c>
      <c r="D620" s="4" t="s">
        <v>1227</v>
      </c>
      <c r="E620" s="4" t="s">
        <v>3451</v>
      </c>
      <c r="F620" s="3">
        <v>40</v>
      </c>
      <c r="G620" s="3" t="s">
        <v>2674</v>
      </c>
      <c r="H620" s="3" t="s">
        <v>3128</v>
      </c>
    </row>
    <row r="621" spans="1:8" customFormat="1" ht="16.149999999999999" hidden="1" x14ac:dyDescent="0.3">
      <c r="A621" s="3">
        <v>108</v>
      </c>
      <c r="B621" s="3">
        <v>7</v>
      </c>
      <c r="C621" s="3" t="s">
        <v>2937</v>
      </c>
      <c r="D621" s="4" t="s">
        <v>1252</v>
      </c>
      <c r="E621" s="4" t="s">
        <v>3455</v>
      </c>
      <c r="F621" s="3">
        <v>40</v>
      </c>
      <c r="G621" s="3" t="s">
        <v>2674</v>
      </c>
      <c r="H621" s="3" t="s">
        <v>3128</v>
      </c>
    </row>
    <row r="622" spans="1:8" x14ac:dyDescent="0.25">
      <c r="A622" s="9">
        <v>108</v>
      </c>
      <c r="B622" s="9">
        <v>7</v>
      </c>
      <c r="C622" s="9" t="s">
        <v>2978</v>
      </c>
      <c r="D622" s="7" t="s">
        <v>2984</v>
      </c>
      <c r="E622" s="7" t="s">
        <v>1642</v>
      </c>
      <c r="F622" s="9">
        <v>10</v>
      </c>
      <c r="G622" s="9" t="s">
        <v>2674</v>
      </c>
      <c r="H622" s="9" t="s">
        <v>3128</v>
      </c>
    </row>
    <row r="623" spans="1:8" customFormat="1" ht="16.149999999999999" hidden="1" x14ac:dyDescent="0.3">
      <c r="A623" s="3">
        <v>108</v>
      </c>
      <c r="B623" s="3">
        <v>7</v>
      </c>
      <c r="C623" s="3" t="s">
        <v>2978</v>
      </c>
      <c r="D623" s="4" t="s">
        <v>2983</v>
      </c>
      <c r="E623" s="4" t="s">
        <v>1638</v>
      </c>
      <c r="F623" s="3">
        <v>20</v>
      </c>
      <c r="G623" s="3" t="s">
        <v>2674</v>
      </c>
      <c r="H623" s="3" t="s">
        <v>3128</v>
      </c>
    </row>
    <row r="624" spans="1:8" x14ac:dyDescent="0.25">
      <c r="A624" s="9">
        <v>108</v>
      </c>
      <c r="B624" s="9">
        <v>7</v>
      </c>
      <c r="C624" s="9" t="s">
        <v>2978</v>
      </c>
      <c r="D624" s="7" t="s">
        <v>2982</v>
      </c>
      <c r="E624" s="7" t="s">
        <v>1634</v>
      </c>
      <c r="F624" s="9">
        <v>20</v>
      </c>
      <c r="G624" s="9" t="s">
        <v>2674</v>
      </c>
      <c r="H624" s="9" t="s">
        <v>3128</v>
      </c>
    </row>
    <row r="625" spans="1:8" x14ac:dyDescent="0.25">
      <c r="A625" s="9">
        <v>108</v>
      </c>
      <c r="B625" s="9">
        <v>7</v>
      </c>
      <c r="C625" s="9" t="s">
        <v>2978</v>
      </c>
      <c r="D625" s="7" t="s">
        <v>3379</v>
      </c>
      <c r="E625" s="7" t="s">
        <v>1626</v>
      </c>
      <c r="F625" s="9">
        <v>20</v>
      </c>
      <c r="G625" s="9" t="s">
        <v>2674</v>
      </c>
      <c r="H625" s="9" t="s">
        <v>3128</v>
      </c>
    </row>
    <row r="626" spans="1:8" customFormat="1" ht="16.149999999999999" hidden="1" x14ac:dyDescent="0.3">
      <c r="A626" s="3">
        <v>108</v>
      </c>
      <c r="B626" s="3">
        <v>7</v>
      </c>
      <c r="C626" s="3" t="s">
        <v>2978</v>
      </c>
      <c r="D626" s="4" t="s">
        <v>2979</v>
      </c>
      <c r="E626" s="4" t="s">
        <v>1618</v>
      </c>
      <c r="F626" s="3">
        <v>20</v>
      </c>
      <c r="G626" s="3" t="s">
        <v>2674</v>
      </c>
      <c r="H626" s="3" t="s">
        <v>3128</v>
      </c>
    </row>
    <row r="627" spans="1:8" customFormat="1" ht="16.149999999999999" hidden="1" x14ac:dyDescent="0.3">
      <c r="A627" s="3">
        <v>108</v>
      </c>
      <c r="B627" s="3">
        <v>7</v>
      </c>
      <c r="C627" s="3" t="s">
        <v>2978</v>
      </c>
      <c r="D627" s="4" t="s">
        <v>2981</v>
      </c>
      <c r="E627" s="4" t="s">
        <v>1630</v>
      </c>
      <c r="F627" s="3">
        <v>10</v>
      </c>
      <c r="G627" s="3" t="s">
        <v>2674</v>
      </c>
      <c r="H627" s="3" t="s">
        <v>3128</v>
      </c>
    </row>
    <row r="628" spans="1:8" customFormat="1" ht="16.149999999999999" hidden="1" x14ac:dyDescent="0.3">
      <c r="A628" s="3">
        <v>108</v>
      </c>
      <c r="B628" s="3">
        <v>7</v>
      </c>
      <c r="C628" s="3" t="s">
        <v>2978</v>
      </c>
      <c r="D628" s="4" t="s">
        <v>2988</v>
      </c>
      <c r="E628" s="4" t="s">
        <v>3483</v>
      </c>
      <c r="F628" s="3">
        <v>20</v>
      </c>
      <c r="G628" s="3" t="s">
        <v>2674</v>
      </c>
      <c r="H628" s="3" t="s">
        <v>3128</v>
      </c>
    </row>
    <row r="629" spans="1:8" x14ac:dyDescent="0.25">
      <c r="A629" s="9">
        <v>108</v>
      </c>
      <c r="B629" s="9">
        <v>7</v>
      </c>
      <c r="C629" s="9" t="s">
        <v>2978</v>
      </c>
      <c r="D629" s="7" t="s">
        <v>2989</v>
      </c>
      <c r="E629" s="7" t="s">
        <v>1670</v>
      </c>
      <c r="F629" s="9">
        <v>10</v>
      </c>
      <c r="G629" s="9" t="s">
        <v>2674</v>
      </c>
      <c r="H629" s="9" t="s">
        <v>3128</v>
      </c>
    </row>
    <row r="630" spans="1:8" x14ac:dyDescent="0.25">
      <c r="A630" s="9">
        <v>108</v>
      </c>
      <c r="B630" s="9">
        <v>7</v>
      </c>
      <c r="C630" s="9" t="s">
        <v>2978</v>
      </c>
      <c r="D630" s="7" t="s">
        <v>2980</v>
      </c>
      <c r="E630" s="7" t="s">
        <v>1622</v>
      </c>
      <c r="F630" s="9">
        <v>20</v>
      </c>
      <c r="G630" s="9" t="s">
        <v>2674</v>
      </c>
      <c r="H630" s="9" t="s">
        <v>3128</v>
      </c>
    </row>
    <row r="631" spans="1:8" x14ac:dyDescent="0.25">
      <c r="A631" s="9">
        <v>108</v>
      </c>
      <c r="B631" s="9">
        <v>7</v>
      </c>
      <c r="C631" s="9" t="s">
        <v>2978</v>
      </c>
      <c r="D631" s="7" t="s">
        <v>2986</v>
      </c>
      <c r="E631" s="7" t="s">
        <v>3480</v>
      </c>
      <c r="F631" s="9">
        <v>60</v>
      </c>
      <c r="G631" s="9" t="s">
        <v>2674</v>
      </c>
      <c r="H631" s="9" t="s">
        <v>3128</v>
      </c>
    </row>
    <row r="632" spans="1:8" x14ac:dyDescent="0.25">
      <c r="A632" s="9">
        <v>108</v>
      </c>
      <c r="B632" s="9">
        <v>7</v>
      </c>
      <c r="C632" s="9" t="s">
        <v>2978</v>
      </c>
      <c r="D632" s="7" t="s">
        <v>2986</v>
      </c>
      <c r="E632" s="7" t="s">
        <v>3482</v>
      </c>
      <c r="F632" s="9">
        <v>20</v>
      </c>
      <c r="G632" s="9" t="s">
        <v>2674</v>
      </c>
      <c r="H632" s="9" t="s">
        <v>3128</v>
      </c>
    </row>
    <row r="633" spans="1:8" x14ac:dyDescent="0.25">
      <c r="A633" s="9">
        <v>108</v>
      </c>
      <c r="B633" s="9">
        <v>7</v>
      </c>
      <c r="C633" s="9" t="s">
        <v>2978</v>
      </c>
      <c r="D633" s="7" t="s">
        <v>2987</v>
      </c>
      <c r="E633" s="7" t="s">
        <v>1662</v>
      </c>
      <c r="F633" s="9">
        <v>50</v>
      </c>
      <c r="G633" s="9" t="s">
        <v>2674</v>
      </c>
      <c r="H633" s="9" t="s">
        <v>3128</v>
      </c>
    </row>
    <row r="634" spans="1:8" customFormat="1" ht="16.149999999999999" hidden="1" x14ac:dyDescent="0.3">
      <c r="A634" s="3">
        <v>108</v>
      </c>
      <c r="B634" s="3">
        <v>7</v>
      </c>
      <c r="C634" s="3" t="s">
        <v>2978</v>
      </c>
      <c r="D634" s="4" t="s">
        <v>2985</v>
      </c>
      <c r="E634" s="4" t="s">
        <v>1647</v>
      </c>
      <c r="F634" s="3">
        <v>30</v>
      </c>
      <c r="G634" s="3" t="s">
        <v>2674</v>
      </c>
      <c r="H634" s="3" t="s">
        <v>3128</v>
      </c>
    </row>
    <row r="635" spans="1:8" x14ac:dyDescent="0.25">
      <c r="A635" s="9">
        <v>108</v>
      </c>
      <c r="B635" s="9">
        <v>7</v>
      </c>
      <c r="C635" s="9" t="s">
        <v>2978</v>
      </c>
      <c r="D635" s="7" t="s">
        <v>2990</v>
      </c>
      <c r="E635" s="7" t="s">
        <v>1674</v>
      </c>
      <c r="F635" s="9">
        <v>10</v>
      </c>
      <c r="G635" s="9" t="s">
        <v>2674</v>
      </c>
      <c r="H635" s="9" t="s">
        <v>3128</v>
      </c>
    </row>
    <row r="636" spans="1:8" x14ac:dyDescent="0.25">
      <c r="A636" s="9">
        <v>108</v>
      </c>
      <c r="B636" s="9">
        <v>7</v>
      </c>
      <c r="C636" s="9" t="s">
        <v>2978</v>
      </c>
      <c r="D636" s="7" t="s">
        <v>2991</v>
      </c>
      <c r="E636" s="7" t="s">
        <v>1680</v>
      </c>
      <c r="F636" s="9">
        <v>25.324999999999999</v>
      </c>
      <c r="G636" s="9" t="s">
        <v>2674</v>
      </c>
      <c r="H636" s="9" t="s">
        <v>3128</v>
      </c>
    </row>
    <row r="637" spans="1:8" x14ac:dyDescent="0.25">
      <c r="A637" s="9">
        <v>108</v>
      </c>
      <c r="B637" s="9">
        <v>7</v>
      </c>
      <c r="C637" s="9" t="s">
        <v>2978</v>
      </c>
      <c r="D637" s="7" t="s">
        <v>3355</v>
      </c>
      <c r="E637" s="7" t="s">
        <v>3484</v>
      </c>
      <c r="F637" s="9">
        <v>30</v>
      </c>
      <c r="G637" s="9" t="s">
        <v>2674</v>
      </c>
      <c r="H637" s="9" t="s">
        <v>3128</v>
      </c>
    </row>
    <row r="638" spans="1:8" x14ac:dyDescent="0.25">
      <c r="A638" s="9">
        <v>108</v>
      </c>
      <c r="B638" s="9">
        <v>7</v>
      </c>
      <c r="C638" s="9" t="s">
        <v>2978</v>
      </c>
      <c r="D638" s="7" t="s">
        <v>3356</v>
      </c>
      <c r="E638" s="7" t="s">
        <v>3481</v>
      </c>
      <c r="F638" s="9">
        <v>15</v>
      </c>
      <c r="G638" s="9" t="s">
        <v>2674</v>
      </c>
      <c r="H638" s="9" t="s">
        <v>3128</v>
      </c>
    </row>
    <row r="639" spans="1:8" customFormat="1" ht="16.149999999999999" hidden="1" x14ac:dyDescent="0.3">
      <c r="A639" s="3">
        <v>108</v>
      </c>
      <c r="B639" s="3">
        <v>7</v>
      </c>
      <c r="C639" s="3" t="s">
        <v>2974</v>
      </c>
      <c r="D639" s="4" t="s">
        <v>2977</v>
      </c>
      <c r="E639" s="4" t="s">
        <v>1612</v>
      </c>
      <c r="F639" s="3">
        <v>20</v>
      </c>
      <c r="G639" s="3" t="s">
        <v>2674</v>
      </c>
      <c r="H639" s="3" t="s">
        <v>2669</v>
      </c>
    </row>
    <row r="640" spans="1:8" customFormat="1" ht="16.149999999999999" hidden="1" x14ac:dyDescent="0.3">
      <c r="A640" s="3">
        <v>108</v>
      </c>
      <c r="B640" s="3">
        <v>7</v>
      </c>
      <c r="C640" s="3" t="s">
        <v>2974</v>
      </c>
      <c r="D640" s="4" t="s">
        <v>2975</v>
      </c>
      <c r="E640" s="4" t="s">
        <v>1592</v>
      </c>
      <c r="F640" s="3">
        <v>30</v>
      </c>
      <c r="G640" s="3" t="s">
        <v>2674</v>
      </c>
      <c r="H640" s="3" t="s">
        <v>3125</v>
      </c>
    </row>
    <row r="641" spans="1:8" x14ac:dyDescent="0.25">
      <c r="A641" s="9">
        <v>108</v>
      </c>
      <c r="B641" s="9">
        <v>7</v>
      </c>
      <c r="C641" s="9" t="s">
        <v>2974</v>
      </c>
      <c r="D641" s="7" t="s">
        <v>3359</v>
      </c>
      <c r="E641" s="7" t="s">
        <v>3479</v>
      </c>
      <c r="F641" s="9">
        <v>25</v>
      </c>
      <c r="G641" s="9" t="s">
        <v>2674</v>
      </c>
      <c r="H641" s="9" t="s">
        <v>3125</v>
      </c>
    </row>
    <row r="642" spans="1:8" customFormat="1" ht="16.149999999999999" hidden="1" x14ac:dyDescent="0.3">
      <c r="A642" s="3">
        <v>108</v>
      </c>
      <c r="B642" s="3">
        <v>7</v>
      </c>
      <c r="C642" s="3" t="s">
        <v>2974</v>
      </c>
      <c r="D642" s="4" t="s">
        <v>3358</v>
      </c>
      <c r="E642" s="4" t="s">
        <v>3478</v>
      </c>
      <c r="F642" s="3">
        <v>25</v>
      </c>
      <c r="G642" s="3" t="s">
        <v>2674</v>
      </c>
      <c r="H642" s="3" t="s">
        <v>3125</v>
      </c>
    </row>
    <row r="643" spans="1:8" x14ac:dyDescent="0.25">
      <c r="A643" s="9">
        <v>108</v>
      </c>
      <c r="B643" s="9">
        <v>7</v>
      </c>
      <c r="C643" s="9" t="s">
        <v>2974</v>
      </c>
      <c r="D643" s="7" t="s">
        <v>2976</v>
      </c>
      <c r="E643" s="7" t="s">
        <v>1607</v>
      </c>
      <c r="F643" s="9">
        <v>30</v>
      </c>
      <c r="G643" s="9" t="s">
        <v>2674</v>
      </c>
      <c r="H643" s="9" t="s">
        <v>3125</v>
      </c>
    </row>
    <row r="644" spans="1:8" x14ac:dyDescent="0.25">
      <c r="A644" s="9">
        <v>108</v>
      </c>
      <c r="B644" s="9">
        <v>7</v>
      </c>
      <c r="C644" s="9" t="s">
        <v>3036</v>
      </c>
      <c r="D644" s="7" t="s">
        <v>3045</v>
      </c>
      <c r="E644" s="7" t="s">
        <v>2059</v>
      </c>
      <c r="F644" s="9">
        <v>20</v>
      </c>
      <c r="G644" s="9" t="s">
        <v>2674</v>
      </c>
      <c r="H644" s="9" t="s">
        <v>2670</v>
      </c>
    </row>
    <row r="645" spans="1:8" x14ac:dyDescent="0.25">
      <c r="A645" s="9">
        <v>108</v>
      </c>
      <c r="B645" s="9">
        <v>7</v>
      </c>
      <c r="C645" s="9" t="s">
        <v>3036</v>
      </c>
      <c r="D645" s="7" t="s">
        <v>3385</v>
      </c>
      <c r="E645" s="7" t="s">
        <v>3522</v>
      </c>
      <c r="F645" s="9">
        <v>16.754000000000001</v>
      </c>
      <c r="G645" s="9" t="s">
        <v>2674</v>
      </c>
      <c r="H645" s="9" t="s">
        <v>2670</v>
      </c>
    </row>
    <row r="646" spans="1:8" x14ac:dyDescent="0.25">
      <c r="A646" s="9">
        <v>108</v>
      </c>
      <c r="B646" s="9">
        <v>7</v>
      </c>
      <c r="C646" s="9" t="s">
        <v>3036</v>
      </c>
      <c r="D646" s="7" t="s">
        <v>3044</v>
      </c>
      <c r="E646" s="7" t="s">
        <v>2054</v>
      </c>
      <c r="F646" s="9">
        <v>50</v>
      </c>
      <c r="G646" s="9" t="s">
        <v>2674</v>
      </c>
      <c r="H646" s="9" t="s">
        <v>2670</v>
      </c>
    </row>
    <row r="647" spans="1:8" x14ac:dyDescent="0.25">
      <c r="A647" s="9">
        <v>108</v>
      </c>
      <c r="B647" s="9">
        <v>7</v>
      </c>
      <c r="C647" s="9" t="s">
        <v>3036</v>
      </c>
      <c r="D647" s="7" t="s">
        <v>3586</v>
      </c>
      <c r="E647" s="7" t="s">
        <v>3590</v>
      </c>
      <c r="F647" s="9">
        <v>100</v>
      </c>
      <c r="G647" s="9" t="s">
        <v>2674</v>
      </c>
      <c r="H647" s="9" t="s">
        <v>2670</v>
      </c>
    </row>
    <row r="648" spans="1:8" x14ac:dyDescent="0.25">
      <c r="A648" s="9">
        <v>108</v>
      </c>
      <c r="B648" s="9">
        <v>7</v>
      </c>
      <c r="C648" s="9" t="s">
        <v>3036</v>
      </c>
      <c r="D648" s="7" t="s">
        <v>3051</v>
      </c>
      <c r="E648" s="7" t="s">
        <v>2094</v>
      </c>
      <c r="F648" s="9">
        <v>100</v>
      </c>
      <c r="G648" s="9" t="s">
        <v>2674</v>
      </c>
      <c r="H648" s="9" t="s">
        <v>2670</v>
      </c>
    </row>
    <row r="649" spans="1:8" x14ac:dyDescent="0.25">
      <c r="A649" s="9">
        <v>108</v>
      </c>
      <c r="B649" s="9">
        <v>7</v>
      </c>
      <c r="C649" s="9" t="s">
        <v>3036</v>
      </c>
      <c r="D649" s="7" t="s">
        <v>3067</v>
      </c>
      <c r="E649" s="7" t="s">
        <v>3524</v>
      </c>
      <c r="F649" s="9">
        <v>20</v>
      </c>
      <c r="G649" s="9" t="s">
        <v>2674</v>
      </c>
      <c r="H649" s="9" t="s">
        <v>2670</v>
      </c>
    </row>
    <row r="650" spans="1:8" x14ac:dyDescent="0.25">
      <c r="A650" s="9">
        <v>108</v>
      </c>
      <c r="B650" s="9">
        <v>7</v>
      </c>
      <c r="C650" s="9" t="s">
        <v>3036</v>
      </c>
      <c r="D650" s="7" t="s">
        <v>3383</v>
      </c>
      <c r="E650" s="7" t="s">
        <v>2153</v>
      </c>
      <c r="F650" s="9">
        <v>20</v>
      </c>
      <c r="G650" s="9" t="s">
        <v>2674</v>
      </c>
      <c r="H650" s="9" t="s">
        <v>2670</v>
      </c>
    </row>
    <row r="651" spans="1:8" x14ac:dyDescent="0.25">
      <c r="A651" s="9">
        <v>108</v>
      </c>
      <c r="B651" s="9">
        <v>7</v>
      </c>
      <c r="C651" s="9" t="s">
        <v>3036</v>
      </c>
      <c r="D651" s="7" t="s">
        <v>3070</v>
      </c>
      <c r="E651" s="7" t="s">
        <v>2261</v>
      </c>
      <c r="F651" s="9">
        <v>20</v>
      </c>
      <c r="G651" s="9" t="s">
        <v>2674</v>
      </c>
      <c r="H651" s="9" t="s">
        <v>3137</v>
      </c>
    </row>
    <row r="652" spans="1:8" x14ac:dyDescent="0.25">
      <c r="A652" s="9">
        <v>108</v>
      </c>
      <c r="B652" s="9">
        <v>7</v>
      </c>
      <c r="C652" s="9" t="s">
        <v>3036</v>
      </c>
      <c r="D652" s="7" t="s">
        <v>3042</v>
      </c>
      <c r="E652" s="7" t="s">
        <v>2039</v>
      </c>
      <c r="F652" s="9">
        <v>30</v>
      </c>
      <c r="G652" s="9" t="s">
        <v>2674</v>
      </c>
      <c r="H652" s="9" t="s">
        <v>2670</v>
      </c>
    </row>
    <row r="653" spans="1:8" x14ac:dyDescent="0.25">
      <c r="A653" s="9">
        <v>108</v>
      </c>
      <c r="B653" s="9">
        <v>7</v>
      </c>
      <c r="C653" s="9" t="s">
        <v>3036</v>
      </c>
      <c r="D653" s="7" t="s">
        <v>3066</v>
      </c>
      <c r="E653" s="7" t="s">
        <v>2237</v>
      </c>
      <c r="F653" s="9">
        <v>20</v>
      </c>
      <c r="G653" s="9" t="s">
        <v>2674</v>
      </c>
      <c r="H653" s="9" t="s">
        <v>2670</v>
      </c>
    </row>
    <row r="654" spans="1:8" x14ac:dyDescent="0.25">
      <c r="A654" s="9">
        <v>108</v>
      </c>
      <c r="B654" s="9">
        <v>7</v>
      </c>
      <c r="C654" s="9" t="s">
        <v>3036</v>
      </c>
      <c r="D654" s="7" t="s">
        <v>3040</v>
      </c>
      <c r="E654" s="7" t="s">
        <v>2029</v>
      </c>
      <c r="F654" s="9">
        <v>50</v>
      </c>
      <c r="G654" s="9" t="s">
        <v>2674</v>
      </c>
      <c r="H654" s="9" t="s">
        <v>2670</v>
      </c>
    </row>
    <row r="655" spans="1:8" x14ac:dyDescent="0.25">
      <c r="A655" s="9">
        <v>108</v>
      </c>
      <c r="B655" s="9">
        <v>7</v>
      </c>
      <c r="C655" s="9" t="s">
        <v>3036</v>
      </c>
      <c r="D655" s="7" t="s">
        <v>3053</v>
      </c>
      <c r="E655" s="7" t="s">
        <v>2112</v>
      </c>
      <c r="F655" s="9">
        <v>20</v>
      </c>
      <c r="G655" s="9" t="s">
        <v>2674</v>
      </c>
      <c r="H655" s="9" t="s">
        <v>2670</v>
      </c>
    </row>
    <row r="656" spans="1:8" ht="33" x14ac:dyDescent="0.25">
      <c r="A656" s="9">
        <v>108</v>
      </c>
      <c r="B656" s="9">
        <v>7</v>
      </c>
      <c r="C656" s="9" t="s">
        <v>3036</v>
      </c>
      <c r="D656" s="7" t="s">
        <v>3068</v>
      </c>
      <c r="E656" s="7" t="s">
        <v>2247</v>
      </c>
      <c r="F656" s="9">
        <v>20</v>
      </c>
      <c r="G656" s="9" t="s">
        <v>2674</v>
      </c>
      <c r="H656" s="9" t="s">
        <v>2670</v>
      </c>
    </row>
    <row r="657" spans="1:8" x14ac:dyDescent="0.25">
      <c r="A657" s="9">
        <v>108</v>
      </c>
      <c r="B657" s="9">
        <v>7</v>
      </c>
      <c r="C657" s="9" t="s">
        <v>3036</v>
      </c>
      <c r="D657" s="7" t="s">
        <v>3054</v>
      </c>
      <c r="E657" s="7" t="s">
        <v>2122</v>
      </c>
      <c r="F657" s="9">
        <v>10</v>
      </c>
      <c r="G657" s="9" t="s">
        <v>2674</v>
      </c>
      <c r="H657" s="9" t="s">
        <v>2670</v>
      </c>
    </row>
    <row r="658" spans="1:8" x14ac:dyDescent="0.25">
      <c r="A658" s="9">
        <v>108</v>
      </c>
      <c r="B658" s="9">
        <v>7</v>
      </c>
      <c r="C658" s="9" t="s">
        <v>3036</v>
      </c>
      <c r="D658" s="7" t="s">
        <v>3054</v>
      </c>
      <c r="E658" s="7" t="s">
        <v>2127</v>
      </c>
      <c r="F658" s="9">
        <v>10</v>
      </c>
      <c r="G658" s="9" t="s">
        <v>2674</v>
      </c>
      <c r="H658" s="9" t="s">
        <v>2670</v>
      </c>
    </row>
    <row r="659" spans="1:8" x14ac:dyDescent="0.25">
      <c r="A659" s="9">
        <v>108</v>
      </c>
      <c r="B659" s="9">
        <v>7</v>
      </c>
      <c r="C659" s="9" t="s">
        <v>3036</v>
      </c>
      <c r="D659" s="7" t="s">
        <v>3362</v>
      </c>
      <c r="E659" s="7" t="s">
        <v>2084</v>
      </c>
      <c r="F659" s="9">
        <v>69.344999999999999</v>
      </c>
      <c r="G659" s="9" t="s">
        <v>2674</v>
      </c>
      <c r="H659" s="9" t="s">
        <v>2670</v>
      </c>
    </row>
    <row r="660" spans="1:8" x14ac:dyDescent="0.25">
      <c r="A660" s="9">
        <v>108</v>
      </c>
      <c r="B660" s="9">
        <v>7</v>
      </c>
      <c r="C660" s="9" t="s">
        <v>3036</v>
      </c>
      <c r="D660" s="7" t="s">
        <v>3362</v>
      </c>
      <c r="E660" s="7" t="s">
        <v>2130</v>
      </c>
      <c r="F660" s="9">
        <v>8.24</v>
      </c>
      <c r="G660" s="9" t="s">
        <v>2674</v>
      </c>
      <c r="H660" s="9" t="s">
        <v>2670</v>
      </c>
    </row>
    <row r="661" spans="1:8" x14ac:dyDescent="0.25">
      <c r="A661" s="9">
        <v>108</v>
      </c>
      <c r="B661" s="9">
        <v>7</v>
      </c>
      <c r="C661" s="9" t="s">
        <v>3036</v>
      </c>
      <c r="D661" s="7" t="s">
        <v>3362</v>
      </c>
      <c r="E661" s="7" t="s">
        <v>2143</v>
      </c>
      <c r="F661" s="9">
        <v>92.242000000000004</v>
      </c>
      <c r="G661" s="9" t="s">
        <v>2674</v>
      </c>
      <c r="H661" s="9" t="s">
        <v>2670</v>
      </c>
    </row>
    <row r="662" spans="1:8" x14ac:dyDescent="0.25">
      <c r="A662" s="9">
        <v>108</v>
      </c>
      <c r="B662" s="9">
        <v>7</v>
      </c>
      <c r="C662" s="9" t="s">
        <v>3036</v>
      </c>
      <c r="D662" s="7" t="s">
        <v>3362</v>
      </c>
      <c r="E662" s="7" t="s">
        <v>2146</v>
      </c>
      <c r="F662" s="9">
        <v>75.349000000000004</v>
      </c>
      <c r="G662" s="9" t="s">
        <v>2674</v>
      </c>
      <c r="H662" s="9" t="s">
        <v>2670</v>
      </c>
    </row>
    <row r="663" spans="1:8" x14ac:dyDescent="0.25">
      <c r="A663" s="9">
        <v>108</v>
      </c>
      <c r="B663" s="9">
        <v>7</v>
      </c>
      <c r="C663" s="9" t="s">
        <v>3036</v>
      </c>
      <c r="D663" s="7" t="s">
        <v>3362</v>
      </c>
      <c r="E663" s="7" t="s">
        <v>2210</v>
      </c>
      <c r="F663" s="9">
        <v>82.816999999999993</v>
      </c>
      <c r="G663" s="9" t="s">
        <v>2674</v>
      </c>
      <c r="H663" s="9" t="s">
        <v>2670</v>
      </c>
    </row>
    <row r="664" spans="1:8" x14ac:dyDescent="0.25">
      <c r="A664" s="9">
        <v>108</v>
      </c>
      <c r="B664" s="9">
        <v>7</v>
      </c>
      <c r="C664" s="9" t="s">
        <v>3036</v>
      </c>
      <c r="D664" s="7" t="s">
        <v>3362</v>
      </c>
      <c r="E664" s="7" t="s">
        <v>2252</v>
      </c>
      <c r="F664" s="9">
        <v>66.094999999999999</v>
      </c>
      <c r="G664" s="9" t="s">
        <v>2674</v>
      </c>
      <c r="H664" s="9" t="s">
        <v>2670</v>
      </c>
    </row>
    <row r="665" spans="1:8" x14ac:dyDescent="0.25">
      <c r="A665" s="9">
        <v>108</v>
      </c>
      <c r="B665" s="9">
        <v>7</v>
      </c>
      <c r="C665" s="9" t="s">
        <v>3036</v>
      </c>
      <c r="D665" s="7" t="s">
        <v>3362</v>
      </c>
      <c r="E665" s="7" t="s">
        <v>2254</v>
      </c>
      <c r="F665" s="9">
        <v>71.314999999999998</v>
      </c>
      <c r="G665" s="9" t="s">
        <v>2674</v>
      </c>
      <c r="H665" s="9" t="s">
        <v>2670</v>
      </c>
    </row>
    <row r="666" spans="1:8" x14ac:dyDescent="0.25">
      <c r="A666" s="9">
        <v>108</v>
      </c>
      <c r="B666" s="9">
        <v>7</v>
      </c>
      <c r="C666" s="9" t="s">
        <v>3036</v>
      </c>
      <c r="D666" s="7" t="s">
        <v>3047</v>
      </c>
      <c r="E666" s="7" t="s">
        <v>2069</v>
      </c>
      <c r="F666" s="9">
        <v>10</v>
      </c>
      <c r="G666" s="9" t="s">
        <v>2674</v>
      </c>
      <c r="H666" s="9" t="s">
        <v>2670</v>
      </c>
    </row>
    <row r="667" spans="1:8" x14ac:dyDescent="0.25">
      <c r="A667" s="9">
        <v>108</v>
      </c>
      <c r="B667" s="9">
        <v>7</v>
      </c>
      <c r="C667" s="9" t="s">
        <v>3036</v>
      </c>
      <c r="D667" s="7" t="s">
        <v>3361</v>
      </c>
      <c r="E667" s="7" t="s">
        <v>2049</v>
      </c>
      <c r="F667" s="9">
        <v>20</v>
      </c>
      <c r="G667" s="9" t="s">
        <v>2674</v>
      </c>
      <c r="H667" s="9" t="s">
        <v>2670</v>
      </c>
    </row>
    <row r="668" spans="1:8" x14ac:dyDescent="0.25">
      <c r="A668" s="9">
        <v>108</v>
      </c>
      <c r="B668" s="9">
        <v>7</v>
      </c>
      <c r="C668" s="9" t="s">
        <v>3036</v>
      </c>
      <c r="D668" s="7" t="s">
        <v>3062</v>
      </c>
      <c r="E668" s="7" t="s">
        <v>2212</v>
      </c>
      <c r="F668" s="9">
        <v>20</v>
      </c>
      <c r="G668" s="9" t="s">
        <v>2674</v>
      </c>
      <c r="H668" s="9" t="s">
        <v>2670</v>
      </c>
    </row>
    <row r="669" spans="1:8" x14ac:dyDescent="0.25">
      <c r="A669" s="9">
        <v>108</v>
      </c>
      <c r="B669" s="9">
        <v>7</v>
      </c>
      <c r="C669" s="9" t="s">
        <v>3036</v>
      </c>
      <c r="D669" s="7" t="s">
        <v>3056</v>
      </c>
      <c r="E669" s="7" t="s">
        <v>2158</v>
      </c>
      <c r="F669" s="9">
        <v>20</v>
      </c>
      <c r="G669" s="9" t="s">
        <v>2674</v>
      </c>
      <c r="H669" s="9" t="s">
        <v>2670</v>
      </c>
    </row>
    <row r="670" spans="1:8" ht="33" x14ac:dyDescent="0.25">
      <c r="A670" s="9">
        <v>108</v>
      </c>
      <c r="B670" s="9">
        <v>7</v>
      </c>
      <c r="C670" s="9" t="s">
        <v>3036</v>
      </c>
      <c r="D670" s="7" t="s">
        <v>3078</v>
      </c>
      <c r="E670" s="7" t="s">
        <v>2312</v>
      </c>
      <c r="F670" s="9">
        <v>427.88299999999998</v>
      </c>
      <c r="G670" s="9" t="s">
        <v>2674</v>
      </c>
      <c r="H670" s="9" t="s">
        <v>2670</v>
      </c>
    </row>
    <row r="671" spans="1:8" x14ac:dyDescent="0.25">
      <c r="A671" s="9">
        <v>108</v>
      </c>
      <c r="B671" s="9">
        <v>7</v>
      </c>
      <c r="C671" s="9" t="s">
        <v>3036</v>
      </c>
      <c r="D671" s="7" t="s">
        <v>3365</v>
      </c>
      <c r="E671" s="7" t="s">
        <v>3521</v>
      </c>
      <c r="F671" s="9">
        <v>20</v>
      </c>
      <c r="G671" s="9" t="s">
        <v>2674</v>
      </c>
      <c r="H671" s="9" t="s">
        <v>2670</v>
      </c>
    </row>
    <row r="672" spans="1:8" x14ac:dyDescent="0.25">
      <c r="A672" s="9">
        <v>108</v>
      </c>
      <c r="B672" s="9">
        <v>7</v>
      </c>
      <c r="C672" s="9" t="s">
        <v>3036</v>
      </c>
      <c r="D672" s="7" t="s">
        <v>3059</v>
      </c>
      <c r="E672" s="7" t="s">
        <v>2180</v>
      </c>
      <c r="F672" s="9">
        <v>50</v>
      </c>
      <c r="G672" s="9" t="s">
        <v>2674</v>
      </c>
      <c r="H672" s="9" t="s">
        <v>2670</v>
      </c>
    </row>
    <row r="673" spans="1:8" x14ac:dyDescent="0.25">
      <c r="A673" s="9">
        <v>108</v>
      </c>
      <c r="B673" s="9">
        <v>7</v>
      </c>
      <c r="C673" s="9" t="s">
        <v>3036</v>
      </c>
      <c r="D673" s="7" t="s">
        <v>3063</v>
      </c>
      <c r="E673" s="7" t="s">
        <v>2223</v>
      </c>
      <c r="F673" s="9">
        <v>10</v>
      </c>
      <c r="G673" s="9" t="s">
        <v>2674</v>
      </c>
      <c r="H673" s="9" t="s">
        <v>2670</v>
      </c>
    </row>
    <row r="674" spans="1:8" x14ac:dyDescent="0.25">
      <c r="A674" s="9">
        <v>108</v>
      </c>
      <c r="B674" s="9">
        <v>7</v>
      </c>
      <c r="C674" s="9" t="s">
        <v>3036</v>
      </c>
      <c r="D674" s="7" t="s">
        <v>3057</v>
      </c>
      <c r="E674" s="7" t="s">
        <v>2163</v>
      </c>
      <c r="F674" s="9">
        <v>50</v>
      </c>
      <c r="G674" s="9" t="s">
        <v>2674</v>
      </c>
      <c r="H674" s="9" t="s">
        <v>2670</v>
      </c>
    </row>
    <row r="675" spans="1:8" x14ac:dyDescent="0.25">
      <c r="A675" s="9">
        <v>108</v>
      </c>
      <c r="B675" s="9">
        <v>7</v>
      </c>
      <c r="C675" s="9" t="s">
        <v>3036</v>
      </c>
      <c r="D675" s="7" t="s">
        <v>3382</v>
      </c>
      <c r="E675" s="7" t="s">
        <v>2024</v>
      </c>
      <c r="F675" s="9">
        <v>20</v>
      </c>
      <c r="G675" s="9" t="s">
        <v>2674</v>
      </c>
      <c r="H675" s="9" t="s">
        <v>2670</v>
      </c>
    </row>
    <row r="676" spans="1:8" x14ac:dyDescent="0.25">
      <c r="A676" s="9">
        <v>108</v>
      </c>
      <c r="B676" s="9">
        <v>7</v>
      </c>
      <c r="C676" s="9" t="s">
        <v>3036</v>
      </c>
      <c r="D676" s="7" t="s">
        <v>3065</v>
      </c>
      <c r="E676" s="7" t="s">
        <v>2232</v>
      </c>
      <c r="F676" s="9">
        <v>20</v>
      </c>
      <c r="G676" s="9" t="s">
        <v>2674</v>
      </c>
      <c r="H676" s="9" t="s">
        <v>2670</v>
      </c>
    </row>
    <row r="677" spans="1:8" x14ac:dyDescent="0.25">
      <c r="A677" s="9">
        <v>108</v>
      </c>
      <c r="B677" s="9">
        <v>7</v>
      </c>
      <c r="C677" s="9" t="s">
        <v>3036</v>
      </c>
      <c r="D677" s="7" t="s">
        <v>3077</v>
      </c>
      <c r="E677" s="7" t="s">
        <v>3526</v>
      </c>
      <c r="F677" s="9">
        <v>300</v>
      </c>
      <c r="G677" s="9" t="s">
        <v>2674</v>
      </c>
      <c r="H677" s="9" t="s">
        <v>2670</v>
      </c>
    </row>
    <row r="678" spans="1:8" x14ac:dyDescent="0.25">
      <c r="A678" s="9">
        <v>108</v>
      </c>
      <c r="B678" s="9">
        <v>7</v>
      </c>
      <c r="C678" s="9" t="s">
        <v>3036</v>
      </c>
      <c r="D678" s="7" t="s">
        <v>3364</v>
      </c>
      <c r="E678" s="7" t="s">
        <v>3520</v>
      </c>
      <c r="F678" s="9">
        <v>10</v>
      </c>
      <c r="G678" s="9" t="s">
        <v>2674</v>
      </c>
      <c r="H678" s="9" t="s">
        <v>2670</v>
      </c>
    </row>
    <row r="679" spans="1:8" x14ac:dyDescent="0.25">
      <c r="A679" s="9">
        <v>108</v>
      </c>
      <c r="B679" s="9">
        <v>7</v>
      </c>
      <c r="C679" s="9" t="s">
        <v>3036</v>
      </c>
      <c r="D679" s="7" t="s">
        <v>3364</v>
      </c>
      <c r="E679" s="7" t="s">
        <v>2168</v>
      </c>
      <c r="F679" s="9">
        <v>20</v>
      </c>
      <c r="G679" s="9" t="s">
        <v>2674</v>
      </c>
      <c r="H679" s="9" t="s">
        <v>2670</v>
      </c>
    </row>
    <row r="680" spans="1:8" x14ac:dyDescent="0.25">
      <c r="A680" s="9">
        <v>108</v>
      </c>
      <c r="B680" s="9">
        <v>7</v>
      </c>
      <c r="C680" s="9" t="s">
        <v>3036</v>
      </c>
      <c r="D680" s="7" t="s">
        <v>3366</v>
      </c>
      <c r="E680" s="7" t="s">
        <v>2170</v>
      </c>
      <c r="F680" s="9">
        <v>20</v>
      </c>
      <c r="G680" s="9" t="s">
        <v>2674</v>
      </c>
      <c r="H680" s="9" t="s">
        <v>2670</v>
      </c>
    </row>
    <row r="681" spans="1:8" x14ac:dyDescent="0.25">
      <c r="A681" s="9">
        <v>108</v>
      </c>
      <c r="B681" s="9">
        <v>7</v>
      </c>
      <c r="C681" s="9" t="s">
        <v>3036</v>
      </c>
      <c r="D681" s="7" t="s">
        <v>3363</v>
      </c>
      <c r="E681" s="7" t="s">
        <v>2107</v>
      </c>
      <c r="F681" s="9">
        <v>20</v>
      </c>
      <c r="G681" s="9" t="s">
        <v>2674</v>
      </c>
      <c r="H681" s="9" t="s">
        <v>2670</v>
      </c>
    </row>
    <row r="682" spans="1:8" ht="33" x14ac:dyDescent="0.25">
      <c r="A682" s="9">
        <v>108</v>
      </c>
      <c r="B682" s="9">
        <v>7</v>
      </c>
      <c r="C682" s="9" t="s">
        <v>3036</v>
      </c>
      <c r="D682" s="7" t="s">
        <v>3387</v>
      </c>
      <c r="E682" s="7" t="s">
        <v>2219</v>
      </c>
      <c r="F682" s="9">
        <v>20</v>
      </c>
      <c r="G682" s="9" t="s">
        <v>2674</v>
      </c>
      <c r="H682" s="9" t="s">
        <v>2670</v>
      </c>
    </row>
    <row r="683" spans="1:8" x14ac:dyDescent="0.25">
      <c r="A683" s="9">
        <v>108</v>
      </c>
      <c r="B683" s="9">
        <v>7</v>
      </c>
      <c r="C683" s="9" t="s">
        <v>3036</v>
      </c>
      <c r="D683" s="7" t="s">
        <v>3367</v>
      </c>
      <c r="E683" s="7" t="s">
        <v>3525</v>
      </c>
      <c r="F683" s="9">
        <v>20</v>
      </c>
      <c r="G683" s="9" t="s">
        <v>2674</v>
      </c>
      <c r="H683" s="9" t="s">
        <v>2670</v>
      </c>
    </row>
    <row r="684" spans="1:8" x14ac:dyDescent="0.25">
      <c r="A684" s="9">
        <v>108</v>
      </c>
      <c r="B684" s="9">
        <v>7</v>
      </c>
      <c r="C684" s="9" t="s">
        <v>3036</v>
      </c>
      <c r="D684" s="7" t="s">
        <v>3050</v>
      </c>
      <c r="E684" s="7" t="s">
        <v>2089</v>
      </c>
      <c r="F684" s="9">
        <v>20</v>
      </c>
      <c r="G684" s="9" t="s">
        <v>2674</v>
      </c>
      <c r="H684" s="9" t="s">
        <v>2670</v>
      </c>
    </row>
    <row r="685" spans="1:8" x14ac:dyDescent="0.25">
      <c r="A685" s="9">
        <v>108</v>
      </c>
      <c r="B685" s="9">
        <v>7</v>
      </c>
      <c r="C685" s="9" t="s">
        <v>3036</v>
      </c>
      <c r="D685" s="7" t="s">
        <v>3048</v>
      </c>
      <c r="E685" s="7" t="s">
        <v>2074</v>
      </c>
      <c r="F685" s="9">
        <v>20</v>
      </c>
      <c r="G685" s="9" t="s">
        <v>2674</v>
      </c>
      <c r="H685" s="9" t="s">
        <v>2670</v>
      </c>
    </row>
    <row r="686" spans="1:8" x14ac:dyDescent="0.25">
      <c r="A686" s="9">
        <v>108</v>
      </c>
      <c r="B686" s="9">
        <v>7</v>
      </c>
      <c r="C686" s="9" t="s">
        <v>3036</v>
      </c>
      <c r="D686" s="7" t="s">
        <v>3360</v>
      </c>
      <c r="E686" s="7" t="s">
        <v>3519</v>
      </c>
      <c r="F686" s="9">
        <v>30</v>
      </c>
      <c r="G686" s="9" t="s">
        <v>2674</v>
      </c>
      <c r="H686" s="9" t="s">
        <v>2670</v>
      </c>
    </row>
    <row r="687" spans="1:8" x14ac:dyDescent="0.25">
      <c r="A687" s="9">
        <v>108</v>
      </c>
      <c r="B687" s="9">
        <v>7</v>
      </c>
      <c r="C687" s="9" t="s">
        <v>3036</v>
      </c>
      <c r="D687" s="7" t="s">
        <v>3360</v>
      </c>
      <c r="E687" s="7" t="s">
        <v>3523</v>
      </c>
      <c r="F687" s="9">
        <v>25</v>
      </c>
      <c r="G687" s="9" t="s">
        <v>2674</v>
      </c>
      <c r="H687" s="9" t="s">
        <v>2670</v>
      </c>
    </row>
    <row r="688" spans="1:8" x14ac:dyDescent="0.25">
      <c r="A688" s="9">
        <v>108</v>
      </c>
      <c r="B688" s="9">
        <v>7</v>
      </c>
      <c r="C688" s="9" t="s">
        <v>3036</v>
      </c>
      <c r="D688" s="7" t="s">
        <v>3071</v>
      </c>
      <c r="E688" s="7" t="s">
        <v>2271</v>
      </c>
      <c r="F688" s="9">
        <v>20</v>
      </c>
      <c r="G688" s="9" t="s">
        <v>2674</v>
      </c>
      <c r="H688" s="9" t="s">
        <v>2670</v>
      </c>
    </row>
    <row r="689" spans="1:8" x14ac:dyDescent="0.25">
      <c r="A689" s="9">
        <v>108</v>
      </c>
      <c r="B689" s="9">
        <v>7</v>
      </c>
      <c r="C689" s="9" t="s">
        <v>3036</v>
      </c>
      <c r="D689" s="7" t="s">
        <v>3061</v>
      </c>
      <c r="E689" s="7" t="s">
        <v>2190</v>
      </c>
      <c r="F689" s="9">
        <v>50</v>
      </c>
      <c r="G689" s="9" t="s">
        <v>2674</v>
      </c>
      <c r="H689" s="9" t="s">
        <v>2670</v>
      </c>
    </row>
    <row r="690" spans="1:8" x14ac:dyDescent="0.25">
      <c r="A690" s="9">
        <v>108</v>
      </c>
      <c r="B690" s="9">
        <v>7</v>
      </c>
      <c r="C690" s="9" t="s">
        <v>3036</v>
      </c>
      <c r="D690" s="7" t="s">
        <v>3388</v>
      </c>
      <c r="E690" s="7" t="s">
        <v>2266</v>
      </c>
      <c r="F690" s="9">
        <v>10</v>
      </c>
      <c r="G690" s="9" t="s">
        <v>2674</v>
      </c>
      <c r="H690" s="9" t="s">
        <v>2670</v>
      </c>
    </row>
    <row r="691" spans="1:8" x14ac:dyDescent="0.25">
      <c r="A691" s="9">
        <v>108</v>
      </c>
      <c r="B691" s="9">
        <v>7</v>
      </c>
      <c r="C691" s="9" t="s">
        <v>3036</v>
      </c>
      <c r="D691" s="7" t="s">
        <v>3039</v>
      </c>
      <c r="E691" s="7" t="s">
        <v>2019</v>
      </c>
      <c r="F691" s="9">
        <v>60</v>
      </c>
      <c r="G691" s="9" t="s">
        <v>2674</v>
      </c>
      <c r="H691" s="9" t="s">
        <v>2670</v>
      </c>
    </row>
    <row r="692" spans="1:8" x14ac:dyDescent="0.25">
      <c r="A692" s="9">
        <v>108</v>
      </c>
      <c r="B692" s="9">
        <v>7</v>
      </c>
      <c r="C692" s="9" t="s">
        <v>3036</v>
      </c>
      <c r="D692" s="7" t="s">
        <v>3072</v>
      </c>
      <c r="E692" s="7" t="s">
        <v>2281</v>
      </c>
      <c r="F692" s="9">
        <v>30</v>
      </c>
      <c r="G692" s="9" t="s">
        <v>2674</v>
      </c>
      <c r="H692" s="9" t="s">
        <v>2670</v>
      </c>
    </row>
    <row r="693" spans="1:8" x14ac:dyDescent="0.25">
      <c r="A693" s="9">
        <v>108</v>
      </c>
      <c r="B693" s="9">
        <v>7</v>
      </c>
      <c r="C693" s="9" t="s">
        <v>3036</v>
      </c>
      <c r="D693" s="7" t="s">
        <v>3058</v>
      </c>
      <c r="E693" s="7" t="s">
        <v>2175</v>
      </c>
      <c r="F693" s="9">
        <v>50</v>
      </c>
      <c r="G693" s="9" t="s">
        <v>2674</v>
      </c>
      <c r="H693" s="9" t="s">
        <v>2670</v>
      </c>
    </row>
    <row r="694" spans="1:8" x14ac:dyDescent="0.25">
      <c r="A694" s="9">
        <v>108</v>
      </c>
      <c r="B694" s="9">
        <v>7</v>
      </c>
      <c r="C694" s="9" t="s">
        <v>3036</v>
      </c>
      <c r="D694" s="7" t="s">
        <v>3076</v>
      </c>
      <c r="E694" s="7" t="s">
        <v>2301</v>
      </c>
      <c r="F694" s="9">
        <v>20</v>
      </c>
      <c r="G694" s="9" t="s">
        <v>2674</v>
      </c>
      <c r="H694" s="9" t="s">
        <v>2670</v>
      </c>
    </row>
    <row r="695" spans="1:8" x14ac:dyDescent="0.25">
      <c r="A695" s="9">
        <v>108</v>
      </c>
      <c r="B695" s="9">
        <v>7</v>
      </c>
      <c r="C695" s="9" t="s">
        <v>3036</v>
      </c>
      <c r="D695" s="7" t="s">
        <v>3060</v>
      </c>
      <c r="E695" s="7" t="s">
        <v>2185</v>
      </c>
      <c r="F695" s="9">
        <v>80</v>
      </c>
      <c r="G695" s="9" t="s">
        <v>2674</v>
      </c>
      <c r="H695" s="9" t="s">
        <v>2670</v>
      </c>
    </row>
    <row r="696" spans="1:8" x14ac:dyDescent="0.25">
      <c r="A696" s="9">
        <v>108</v>
      </c>
      <c r="B696" s="9">
        <v>7</v>
      </c>
      <c r="C696" s="9" t="s">
        <v>3036</v>
      </c>
      <c r="D696" s="7" t="s">
        <v>3064</v>
      </c>
      <c r="E696" s="7" t="s">
        <v>2044</v>
      </c>
      <c r="F696" s="9">
        <v>30</v>
      </c>
      <c r="G696" s="9" t="s">
        <v>2674</v>
      </c>
      <c r="H696" s="9" t="s">
        <v>2670</v>
      </c>
    </row>
    <row r="697" spans="1:8" x14ac:dyDescent="0.25">
      <c r="A697" s="9">
        <v>108</v>
      </c>
      <c r="B697" s="9">
        <v>7</v>
      </c>
      <c r="C697" s="9" t="s">
        <v>3036</v>
      </c>
      <c r="D697" s="7" t="s">
        <v>3043</v>
      </c>
      <c r="E697" s="7" t="s">
        <v>2044</v>
      </c>
      <c r="F697" s="9">
        <v>30</v>
      </c>
      <c r="G697" s="9" t="s">
        <v>2674</v>
      </c>
      <c r="H697" s="9" t="s">
        <v>2670</v>
      </c>
    </row>
    <row r="698" spans="1:8" x14ac:dyDescent="0.25">
      <c r="A698" s="9">
        <v>108</v>
      </c>
      <c r="B698" s="9">
        <v>7</v>
      </c>
      <c r="C698" s="9" t="s">
        <v>3036</v>
      </c>
      <c r="D698" s="7" t="s">
        <v>3069</v>
      </c>
      <c r="E698" s="7" t="s">
        <v>2256</v>
      </c>
      <c r="F698" s="9">
        <v>20</v>
      </c>
      <c r="G698" s="9" t="s">
        <v>2674</v>
      </c>
      <c r="H698" s="9" t="s">
        <v>2670</v>
      </c>
    </row>
    <row r="699" spans="1:8" ht="33" x14ac:dyDescent="0.25">
      <c r="A699" s="9">
        <v>108</v>
      </c>
      <c r="B699" s="9">
        <v>7</v>
      </c>
      <c r="C699" s="9" t="s">
        <v>3036</v>
      </c>
      <c r="D699" s="7" t="s">
        <v>3384</v>
      </c>
      <c r="E699" s="7" t="s">
        <v>2195</v>
      </c>
      <c r="F699" s="9">
        <v>100</v>
      </c>
      <c r="G699" s="9" t="s">
        <v>2674</v>
      </c>
      <c r="H699" s="9" t="s">
        <v>2670</v>
      </c>
    </row>
    <row r="700" spans="1:8" ht="33" x14ac:dyDescent="0.25">
      <c r="A700" s="9">
        <v>108</v>
      </c>
      <c r="B700" s="9">
        <v>7</v>
      </c>
      <c r="C700" s="9" t="s">
        <v>3036</v>
      </c>
      <c r="D700" s="7" t="s">
        <v>3049</v>
      </c>
      <c r="E700" s="7" t="s">
        <v>2079</v>
      </c>
      <c r="F700" s="9">
        <v>20</v>
      </c>
      <c r="G700" s="9" t="s">
        <v>2674</v>
      </c>
      <c r="H700" s="9" t="s">
        <v>2670</v>
      </c>
    </row>
    <row r="701" spans="1:8" x14ac:dyDescent="0.25">
      <c r="A701" s="9">
        <v>108</v>
      </c>
      <c r="B701" s="9">
        <v>7</v>
      </c>
      <c r="C701" s="9" t="s">
        <v>3036</v>
      </c>
      <c r="D701" s="7" t="s">
        <v>3381</v>
      </c>
      <c r="E701" s="7" t="s">
        <v>2117</v>
      </c>
      <c r="F701" s="9">
        <v>20</v>
      </c>
      <c r="G701" s="9" t="s">
        <v>2674</v>
      </c>
      <c r="H701" s="9" t="s">
        <v>2670</v>
      </c>
    </row>
    <row r="702" spans="1:8" x14ac:dyDescent="0.25">
      <c r="A702" s="9">
        <v>108</v>
      </c>
      <c r="B702" s="9">
        <v>7</v>
      </c>
      <c r="C702" s="9" t="s">
        <v>3036</v>
      </c>
      <c r="D702" s="7" t="s">
        <v>3386</v>
      </c>
      <c r="E702" s="7" t="s">
        <v>2205</v>
      </c>
      <c r="F702" s="9">
        <v>20</v>
      </c>
      <c r="G702" s="9" t="s">
        <v>2674</v>
      </c>
      <c r="H702" s="9" t="s">
        <v>2670</v>
      </c>
    </row>
    <row r="703" spans="1:8" ht="33" x14ac:dyDescent="0.25">
      <c r="A703" s="9">
        <v>108</v>
      </c>
      <c r="B703" s="9">
        <v>7</v>
      </c>
      <c r="C703" s="9" t="s">
        <v>3036</v>
      </c>
      <c r="D703" s="7" t="s">
        <v>3037</v>
      </c>
      <c r="E703" s="7" t="s">
        <v>2009</v>
      </c>
      <c r="F703" s="9">
        <v>30</v>
      </c>
      <c r="G703" s="9" t="s">
        <v>2674</v>
      </c>
      <c r="H703" s="9" t="s">
        <v>2670</v>
      </c>
    </row>
    <row r="704" spans="1:8" x14ac:dyDescent="0.25">
      <c r="A704" s="9">
        <v>108</v>
      </c>
      <c r="B704" s="9">
        <v>7</v>
      </c>
      <c r="C704" s="9" t="s">
        <v>3036</v>
      </c>
      <c r="D704" s="7" t="s">
        <v>3075</v>
      </c>
      <c r="E704" s="7" t="s">
        <v>2296</v>
      </c>
      <c r="F704" s="9">
        <v>30</v>
      </c>
      <c r="G704" s="9" t="s">
        <v>2674</v>
      </c>
      <c r="H704" s="9" t="s">
        <v>2670</v>
      </c>
    </row>
    <row r="705" spans="1:8" x14ac:dyDescent="0.25">
      <c r="A705" s="9">
        <v>108</v>
      </c>
      <c r="B705" s="9">
        <v>7</v>
      </c>
      <c r="C705" s="9" t="s">
        <v>3036</v>
      </c>
      <c r="D705" s="7" t="s">
        <v>3052</v>
      </c>
      <c r="E705" s="7" t="s">
        <v>2102</v>
      </c>
      <c r="F705" s="9">
        <v>50</v>
      </c>
      <c r="G705" s="9" t="s">
        <v>2674</v>
      </c>
      <c r="H705" s="9" t="s">
        <v>2670</v>
      </c>
    </row>
    <row r="706" spans="1:8" x14ac:dyDescent="0.25">
      <c r="A706" s="9">
        <v>108</v>
      </c>
      <c r="B706" s="9">
        <v>7</v>
      </c>
      <c r="C706" s="9" t="s">
        <v>3036</v>
      </c>
      <c r="D706" s="7" t="s">
        <v>3038</v>
      </c>
      <c r="E706" s="7" t="s">
        <v>2014</v>
      </c>
      <c r="F706" s="9">
        <v>40</v>
      </c>
      <c r="G706" s="9" t="s">
        <v>2674</v>
      </c>
      <c r="H706" s="9" t="s">
        <v>2670</v>
      </c>
    </row>
    <row r="707" spans="1:8" x14ac:dyDescent="0.25">
      <c r="A707" s="9">
        <v>108</v>
      </c>
      <c r="B707" s="9">
        <v>7</v>
      </c>
      <c r="C707" s="9" t="s">
        <v>3036</v>
      </c>
      <c r="D707" s="7" t="s">
        <v>3055</v>
      </c>
      <c r="E707" s="7" t="s">
        <v>2148</v>
      </c>
      <c r="F707" s="9">
        <v>20</v>
      </c>
      <c r="G707" s="9" t="s">
        <v>2674</v>
      </c>
      <c r="H707" s="9" t="s">
        <v>2670</v>
      </c>
    </row>
    <row r="708" spans="1:8" x14ac:dyDescent="0.25">
      <c r="A708" s="9">
        <v>108</v>
      </c>
      <c r="B708" s="9">
        <v>7</v>
      </c>
      <c r="C708" s="9" t="s">
        <v>3036</v>
      </c>
      <c r="D708" s="7" t="s">
        <v>3046</v>
      </c>
      <c r="E708" s="7" t="s">
        <v>2064</v>
      </c>
      <c r="F708" s="9">
        <v>20</v>
      </c>
      <c r="G708" s="9" t="s">
        <v>2674</v>
      </c>
      <c r="H708" s="9" t="s">
        <v>2670</v>
      </c>
    </row>
    <row r="709" spans="1:8" x14ac:dyDescent="0.25">
      <c r="A709" s="9">
        <v>108</v>
      </c>
      <c r="B709" s="9">
        <v>7</v>
      </c>
      <c r="C709" s="9" t="s">
        <v>3036</v>
      </c>
      <c r="D709" s="7" t="s">
        <v>3041</v>
      </c>
      <c r="E709" s="7" t="s">
        <v>2034</v>
      </c>
      <c r="F709" s="9">
        <v>20</v>
      </c>
      <c r="G709" s="9" t="s">
        <v>2674</v>
      </c>
      <c r="H709" s="9" t="s">
        <v>2670</v>
      </c>
    </row>
    <row r="710" spans="1:8" x14ac:dyDescent="0.25">
      <c r="A710" s="9">
        <v>108</v>
      </c>
      <c r="B710" s="9">
        <v>7</v>
      </c>
      <c r="C710" s="9" t="s">
        <v>3036</v>
      </c>
      <c r="D710" s="7" t="s">
        <v>3073</v>
      </c>
      <c r="E710" s="7" t="s">
        <v>2286</v>
      </c>
      <c r="F710" s="9">
        <v>100</v>
      </c>
      <c r="G710" s="9" t="s">
        <v>2674</v>
      </c>
      <c r="H710" s="9" t="s">
        <v>2670</v>
      </c>
    </row>
    <row r="711" spans="1:8" x14ac:dyDescent="0.25">
      <c r="A711" s="12">
        <v>108</v>
      </c>
      <c r="B711" s="12">
        <v>7</v>
      </c>
      <c r="C711" s="12" t="s">
        <v>3036</v>
      </c>
      <c r="D711" s="13" t="s">
        <v>3074</v>
      </c>
      <c r="E711" s="13" t="s">
        <v>2291</v>
      </c>
      <c r="F711" s="12">
        <v>50</v>
      </c>
      <c r="G711" s="12" t="s">
        <v>2674</v>
      </c>
      <c r="H711" s="12" t="s">
        <v>2670</v>
      </c>
    </row>
    <row r="712" spans="1:8" x14ac:dyDescent="0.25">
      <c r="A712" s="8"/>
      <c r="B712" s="8"/>
      <c r="C712" s="8"/>
      <c r="D712" s="7"/>
      <c r="E712" s="9" t="s">
        <v>3668</v>
      </c>
      <c r="F712" s="8">
        <v>20349.710000000003</v>
      </c>
      <c r="G712" s="8"/>
      <c r="H712" s="8"/>
    </row>
  </sheetData>
  <autoFilter ref="A1:H711">
    <filterColumn colId="7">
      <filters blank="1">
        <filter val="竹南鎮"/>
        <filter val="花蓮市"/>
        <filter val="苗栗市"/>
        <filter val="桃園區"/>
        <filter val="桃園縣"/>
        <filter val="高雄巿"/>
        <filter val="高雄市"/>
        <filter val="造橋鄉"/>
        <filter val="新北市"/>
        <filter val="獅潭鄉"/>
        <filter val="臺中市"/>
        <filter val="臺北市"/>
        <filter val="臺南市"/>
        <filter val="蘇澳鎮"/>
      </filters>
    </filterColumn>
    <sortState ref="A2:I711">
      <sortCondition descending="1" ref="C1:C711"/>
    </sortState>
  </autoFilter>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EyiyIoyi</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林英傑</dc:creator>
  <cp:lastModifiedBy>林英傑</cp:lastModifiedBy>
  <dcterms:created xsi:type="dcterms:W3CDTF">2019-08-08T09:12:29Z</dcterms:created>
  <dcterms:modified xsi:type="dcterms:W3CDTF">2021-09-02T03:10:10Z</dcterms:modified>
</cp:coreProperties>
</file>